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15" yWindow="115" windowWidth="15126" windowHeight="8006" activeTab="1"/>
  </bookViews>
  <sheets>
    <sheet name="Лист1" sheetId="1" r:id="rId1"/>
    <sheet name="рабоч." sheetId="2" r:id="rId2"/>
    <sheet name="декабрь посл.вар-т" sheetId="3" r:id="rId3"/>
  </sheets>
  <definedNames>
    <definedName name="_xlnm.Print_Area" localSheetId="2">'декабрь посл.вар-т'!$A$1:$T$65</definedName>
    <definedName name="_xlnm.Print_Area" localSheetId="1">рабоч.!$A$1:$V$54</definedName>
  </definedNames>
  <calcPr calcId="124519"/>
</workbook>
</file>

<file path=xl/calcChain.xml><?xml version="1.0" encoding="utf-8"?>
<calcChain xmlns="http://schemas.openxmlformats.org/spreadsheetml/2006/main">
  <c r="Q23" i="2"/>
  <c r="Q35"/>
  <c r="R23"/>
  <c r="R39" s="1"/>
  <c r="R29"/>
  <c r="Q29"/>
  <c r="R27"/>
  <c r="Q27"/>
  <c r="R25"/>
  <c r="Q25"/>
  <c r="P23"/>
  <c r="P35"/>
  <c r="Q24"/>
  <c r="N48"/>
  <c r="L48"/>
  <c r="K48"/>
  <c r="J48"/>
  <c r="O47"/>
  <c r="I47"/>
  <c r="I46"/>
  <c r="I44"/>
  <c r="I43"/>
  <c r="U48"/>
  <c r="T42"/>
  <c r="T48" s="1"/>
  <c r="S42"/>
  <c r="S40" s="1"/>
  <c r="R42"/>
  <c r="R48" s="1"/>
  <c r="Q48"/>
  <c r="P42"/>
  <c r="P48" s="1"/>
  <c r="O42"/>
  <c r="O40" s="1"/>
  <c r="M42"/>
  <c r="M48" s="1"/>
  <c r="I42"/>
  <c r="I48" s="1"/>
  <c r="T40"/>
  <c r="R40"/>
  <c r="N40"/>
  <c r="L40"/>
  <c r="K40"/>
  <c r="J40"/>
  <c r="U39"/>
  <c r="U49" s="1"/>
  <c r="T39"/>
  <c r="S39"/>
  <c r="L39"/>
  <c r="L49" s="1"/>
  <c r="K39"/>
  <c r="K49" s="1"/>
  <c r="J39"/>
  <c r="J49" s="1"/>
  <c r="O38"/>
  <c r="I38" s="1"/>
  <c r="I37"/>
  <c r="O36"/>
  <c r="N36"/>
  <c r="K36"/>
  <c r="O35"/>
  <c r="N35"/>
  <c r="M35"/>
  <c r="K35"/>
  <c r="O34"/>
  <c r="I34" s="1"/>
  <c r="N34"/>
  <c r="I33"/>
  <c r="I32"/>
  <c r="I31"/>
  <c r="I30"/>
  <c r="P29"/>
  <c r="O29"/>
  <c r="N29"/>
  <c r="M29"/>
  <c r="I29" s="1"/>
  <c r="I28"/>
  <c r="P27"/>
  <c r="O27"/>
  <c r="N27"/>
  <c r="M27"/>
  <c r="P25"/>
  <c r="O25"/>
  <c r="O39" s="1"/>
  <c r="N25"/>
  <c r="M25"/>
  <c r="P24"/>
  <c r="P39" s="1"/>
  <c r="N24"/>
  <c r="O23"/>
  <c r="N23"/>
  <c r="I23" s="1"/>
  <c r="M23"/>
  <c r="U21"/>
  <c r="T21"/>
  <c r="S21"/>
  <c r="R21"/>
  <c r="P21"/>
  <c r="L21"/>
  <c r="J21"/>
  <c r="G24" i="3"/>
  <c r="S46"/>
  <c r="S44"/>
  <c r="G44"/>
  <c r="M51"/>
  <c r="N51"/>
  <c r="O51"/>
  <c r="P51"/>
  <c r="Q51"/>
  <c r="R51"/>
  <c r="S51"/>
  <c r="L51"/>
  <c r="S59"/>
  <c r="R59"/>
  <c r="O59"/>
  <c r="N59"/>
  <c r="M59"/>
  <c r="L59"/>
  <c r="K59"/>
  <c r="J59"/>
  <c r="I59"/>
  <c r="H59"/>
  <c r="P58"/>
  <c r="G58"/>
  <c r="P57"/>
  <c r="G57" s="1"/>
  <c r="P55"/>
  <c r="G55" s="1"/>
  <c r="G54"/>
  <c r="Q59"/>
  <c r="P53"/>
  <c r="G53" s="1"/>
  <c r="K51"/>
  <c r="J51"/>
  <c r="I51"/>
  <c r="H51"/>
  <c r="R50"/>
  <c r="Q50"/>
  <c r="P50"/>
  <c r="O50"/>
  <c r="N50"/>
  <c r="M50"/>
  <c r="L50"/>
  <c r="K50"/>
  <c r="J50"/>
  <c r="J60" s="1"/>
  <c r="I50"/>
  <c r="H50"/>
  <c r="G49"/>
  <c r="G48"/>
  <c r="G46"/>
  <c r="G45"/>
  <c r="R42"/>
  <c r="Q42"/>
  <c r="P42"/>
  <c r="O42"/>
  <c r="N42"/>
  <c r="M42"/>
  <c r="L42"/>
  <c r="K42"/>
  <c r="J42"/>
  <c r="I42"/>
  <c r="H42"/>
  <c r="L41"/>
  <c r="L60" s="1"/>
  <c r="K41"/>
  <c r="K60" s="1"/>
  <c r="J41"/>
  <c r="H41"/>
  <c r="H60" s="1"/>
  <c r="G40"/>
  <c r="R39"/>
  <c r="Q39"/>
  <c r="P39"/>
  <c r="O39"/>
  <c r="M39"/>
  <c r="G39" s="1"/>
  <c r="G38"/>
  <c r="O37"/>
  <c r="I37"/>
  <c r="G37" s="1"/>
  <c r="I36"/>
  <c r="G36" s="1"/>
  <c r="R35"/>
  <c r="Q35"/>
  <c r="P35"/>
  <c r="O35"/>
  <c r="N35"/>
  <c r="M35"/>
  <c r="G35" s="1"/>
  <c r="R34"/>
  <c r="Q34"/>
  <c r="P34"/>
  <c r="N34"/>
  <c r="M34"/>
  <c r="G34"/>
  <c r="G33"/>
  <c r="G32"/>
  <c r="G31"/>
  <c r="R30"/>
  <c r="Q30"/>
  <c r="P30"/>
  <c r="O30"/>
  <c r="N30"/>
  <c r="M30"/>
  <c r="I30"/>
  <c r="G30"/>
  <c r="Q29"/>
  <c r="G29" s="1"/>
  <c r="R28"/>
  <c r="Q28"/>
  <c r="Q41" s="1"/>
  <c r="P28"/>
  <c r="O28"/>
  <c r="N28"/>
  <c r="M28"/>
  <c r="M41" s="1"/>
  <c r="M60" s="1"/>
  <c r="I28"/>
  <c r="G28" s="1"/>
  <c r="S21"/>
  <c r="R26"/>
  <c r="R21" s="1"/>
  <c r="Q26"/>
  <c r="Q21" s="1"/>
  <c r="P26"/>
  <c r="O26"/>
  <c r="O21" s="1"/>
  <c r="N26"/>
  <c r="N21" s="1"/>
  <c r="M26"/>
  <c r="I26"/>
  <c r="G26"/>
  <c r="O25"/>
  <c r="N25"/>
  <c r="N41" s="1"/>
  <c r="N60" s="1"/>
  <c r="M25"/>
  <c r="G25"/>
  <c r="S41"/>
  <c r="R23"/>
  <c r="R41" s="1"/>
  <c r="R60" s="1"/>
  <c r="Q23"/>
  <c r="P23"/>
  <c r="P41" s="1"/>
  <c r="O23"/>
  <c r="O41" s="1"/>
  <c r="O60" s="1"/>
  <c r="M23"/>
  <c r="M21" s="1"/>
  <c r="I23"/>
  <c r="G23"/>
  <c r="P21"/>
  <c r="L21"/>
  <c r="K21"/>
  <c r="J21"/>
  <c r="H21"/>
  <c r="I36" i="2" l="1"/>
  <c r="S49"/>
  <c r="O48"/>
  <c r="N21"/>
  <c r="O21"/>
  <c r="M21"/>
  <c r="I27"/>
  <c r="P40"/>
  <c r="S48"/>
  <c r="O49"/>
  <c r="T49"/>
  <c r="I24"/>
  <c r="P49"/>
  <c r="I35"/>
  <c r="R49"/>
  <c r="Q21"/>
  <c r="K21"/>
  <c r="I25"/>
  <c r="N39"/>
  <c r="N49" s="1"/>
  <c r="M40"/>
  <c r="Q40"/>
  <c r="U40"/>
  <c r="M39"/>
  <c r="M49" s="1"/>
  <c r="Q39"/>
  <c r="Q49" s="1"/>
  <c r="G50" i="3"/>
  <c r="Q60"/>
  <c r="G59"/>
  <c r="I41"/>
  <c r="I60" s="1"/>
  <c r="S50"/>
  <c r="S60" s="1"/>
  <c r="P59"/>
  <c r="P60" s="1"/>
  <c r="S42"/>
  <c r="G42" s="1"/>
  <c r="G51"/>
  <c r="I21"/>
  <c r="G21" s="1"/>
  <c r="I40" i="2" l="1"/>
  <c r="I21"/>
  <c r="I39"/>
  <c r="I49" s="1"/>
  <c r="G41" i="3"/>
  <c r="G60" s="1"/>
  <c r="S309" i="1" l="1"/>
  <c r="S308"/>
  <c r="S306"/>
  <c r="S304"/>
  <c r="O226"/>
  <c r="O222"/>
  <c r="N222"/>
  <c r="O221"/>
  <c r="N221"/>
  <c r="O217"/>
  <c r="N217"/>
  <c r="N216"/>
  <c r="O215"/>
  <c r="N215"/>
  <c r="O213"/>
  <c r="N213"/>
  <c r="N212"/>
  <c r="O211"/>
  <c r="U310"/>
  <c r="T310"/>
  <c r="S310"/>
  <c r="Q310"/>
  <c r="P310"/>
  <c r="O310"/>
  <c r="N310"/>
  <c r="M310"/>
  <c r="L310"/>
  <c r="K310"/>
  <c r="J310"/>
  <c r="I309"/>
  <c r="R308"/>
  <c r="R310" s="1"/>
  <c r="I306"/>
  <c r="I305"/>
  <c r="I304"/>
  <c r="U302"/>
  <c r="T302"/>
  <c r="S302"/>
  <c r="R302"/>
  <c r="Q302"/>
  <c r="P302"/>
  <c r="O302"/>
  <c r="N302"/>
  <c r="M302"/>
  <c r="L302"/>
  <c r="K302"/>
  <c r="J302"/>
  <c r="S301"/>
  <c r="R301"/>
  <c r="Q301"/>
  <c r="P301"/>
  <c r="P311" s="1"/>
  <c r="O301"/>
  <c r="N301"/>
  <c r="M301"/>
  <c r="L301"/>
  <c r="L311" s="1"/>
  <c r="K301"/>
  <c r="J301"/>
  <c r="U300"/>
  <c r="I300" s="1"/>
  <c r="U299"/>
  <c r="I299"/>
  <c r="U297"/>
  <c r="I297" s="1"/>
  <c r="I296"/>
  <c r="U295"/>
  <c r="U301" s="1"/>
  <c r="T295"/>
  <c r="T301" s="1"/>
  <c r="T311" s="1"/>
  <c r="M295"/>
  <c r="I295" s="1"/>
  <c r="I301" s="1"/>
  <c r="U293"/>
  <c r="T293"/>
  <c r="S293"/>
  <c r="R293"/>
  <c r="Q293"/>
  <c r="P293"/>
  <c r="O293"/>
  <c r="N293"/>
  <c r="M293"/>
  <c r="L293"/>
  <c r="K293"/>
  <c r="J293"/>
  <c r="I293"/>
  <c r="U292"/>
  <c r="U311" s="1"/>
  <c r="T292"/>
  <c r="R292"/>
  <c r="R311" s="1"/>
  <c r="Q292"/>
  <c r="Q311" s="1"/>
  <c r="P292"/>
  <c r="L292"/>
  <c r="J292"/>
  <c r="J311" s="1"/>
  <c r="I291"/>
  <c r="O290"/>
  <c r="N290"/>
  <c r="I290" s="1"/>
  <c r="I289"/>
  <c r="M288"/>
  <c r="K288"/>
  <c r="I288" s="1"/>
  <c r="K287"/>
  <c r="I287" s="1"/>
  <c r="O286"/>
  <c r="N286"/>
  <c r="M286"/>
  <c r="I286" s="1"/>
  <c r="O285"/>
  <c r="N285"/>
  <c r="M285"/>
  <c r="I285" s="1"/>
  <c r="I284"/>
  <c r="I283"/>
  <c r="I282"/>
  <c r="O281"/>
  <c r="N281"/>
  <c r="M281"/>
  <c r="K281"/>
  <c r="I281" s="1"/>
  <c r="N280"/>
  <c r="I280" s="1"/>
  <c r="O279"/>
  <c r="N279"/>
  <c r="M279"/>
  <c r="M273" s="1"/>
  <c r="K279"/>
  <c r="I279" s="1"/>
  <c r="O277"/>
  <c r="N277"/>
  <c r="M277"/>
  <c r="M292" s="1"/>
  <c r="M311" s="1"/>
  <c r="K277"/>
  <c r="I277" s="1"/>
  <c r="N276"/>
  <c r="I276" s="1"/>
  <c r="U275"/>
  <c r="T275"/>
  <c r="S275"/>
  <c r="S292" s="1"/>
  <c r="S311" s="1"/>
  <c r="R275"/>
  <c r="Q275"/>
  <c r="P275"/>
  <c r="O275"/>
  <c r="O292" s="1"/>
  <c r="O311" s="1"/>
  <c r="N275"/>
  <c r="M275"/>
  <c r="K275"/>
  <c r="K292" s="1"/>
  <c r="K311" s="1"/>
  <c r="I275"/>
  <c r="U273"/>
  <c r="T273"/>
  <c r="R273"/>
  <c r="Q273"/>
  <c r="P273"/>
  <c r="N273"/>
  <c r="L273"/>
  <c r="J273"/>
  <c r="U236"/>
  <c r="U235"/>
  <c r="U233"/>
  <c r="U231"/>
  <c r="T231"/>
  <c r="T237" s="1"/>
  <c r="M231"/>
  <c r="M229" s="1"/>
  <c r="R244"/>
  <c r="M217"/>
  <c r="M224"/>
  <c r="M222"/>
  <c r="M221"/>
  <c r="M215"/>
  <c r="M213"/>
  <c r="U211"/>
  <c r="T211"/>
  <c r="S211"/>
  <c r="R211"/>
  <c r="Q211"/>
  <c r="P211"/>
  <c r="M211"/>
  <c r="U246"/>
  <c r="T246"/>
  <c r="S246"/>
  <c r="R246"/>
  <c r="Q246"/>
  <c r="P246"/>
  <c r="O246"/>
  <c r="N246"/>
  <c r="M246"/>
  <c r="L246"/>
  <c r="K246"/>
  <c r="J246"/>
  <c r="I245"/>
  <c r="I244"/>
  <c r="I242"/>
  <c r="I241"/>
  <c r="I240"/>
  <c r="U238"/>
  <c r="T238"/>
  <c r="S238"/>
  <c r="R238"/>
  <c r="Q238"/>
  <c r="P238"/>
  <c r="O238"/>
  <c r="N238"/>
  <c r="M238"/>
  <c r="L238"/>
  <c r="K238"/>
  <c r="J238"/>
  <c r="U237"/>
  <c r="S237"/>
  <c r="R237"/>
  <c r="Q237"/>
  <c r="P237"/>
  <c r="O237"/>
  <c r="N237"/>
  <c r="M237"/>
  <c r="L237"/>
  <c r="K237"/>
  <c r="J237"/>
  <c r="I236"/>
  <c r="I235"/>
  <c r="I233"/>
  <c r="I232"/>
  <c r="I231"/>
  <c r="U229"/>
  <c r="T229"/>
  <c r="S229"/>
  <c r="R229"/>
  <c r="Q229"/>
  <c r="P229"/>
  <c r="O229"/>
  <c r="N229"/>
  <c r="L229"/>
  <c r="K229"/>
  <c r="J229"/>
  <c r="U228"/>
  <c r="T228"/>
  <c r="S228"/>
  <c r="R228"/>
  <c r="Q228"/>
  <c r="P228"/>
  <c r="P247" s="1"/>
  <c r="L228"/>
  <c r="L247" s="1"/>
  <c r="J228"/>
  <c r="J247" s="1"/>
  <c r="I227"/>
  <c r="I226"/>
  <c r="I225"/>
  <c r="K224"/>
  <c r="I224"/>
  <c r="K223"/>
  <c r="I223"/>
  <c r="N228"/>
  <c r="N247" s="1"/>
  <c r="I221"/>
  <c r="I220"/>
  <c r="I219"/>
  <c r="I218"/>
  <c r="K217"/>
  <c r="I217" s="1"/>
  <c r="I216"/>
  <c r="K215"/>
  <c r="I215" s="1"/>
  <c r="K213"/>
  <c r="I213"/>
  <c r="I212"/>
  <c r="O228"/>
  <c r="O247" s="1"/>
  <c r="M228"/>
  <c r="K211"/>
  <c r="I211" s="1"/>
  <c r="U209"/>
  <c r="T209"/>
  <c r="S209"/>
  <c r="R209"/>
  <c r="Q209"/>
  <c r="P209"/>
  <c r="O209"/>
  <c r="N209"/>
  <c r="L209"/>
  <c r="K209"/>
  <c r="J209"/>
  <c r="M147"/>
  <c r="U182"/>
  <c r="T182"/>
  <c r="S182"/>
  <c r="R182"/>
  <c r="Q182"/>
  <c r="P182"/>
  <c r="O182"/>
  <c r="N182"/>
  <c r="M182"/>
  <c r="L182"/>
  <c r="K182"/>
  <c r="J182"/>
  <c r="I181"/>
  <c r="I180"/>
  <c r="I178"/>
  <c r="I177"/>
  <c r="I182" s="1"/>
  <c r="I176"/>
  <c r="U174"/>
  <c r="T174"/>
  <c r="S174"/>
  <c r="R174"/>
  <c r="Q174"/>
  <c r="P174"/>
  <c r="O174"/>
  <c r="N174"/>
  <c r="M174"/>
  <c r="L174"/>
  <c r="K174"/>
  <c r="J174"/>
  <c r="I174" s="1"/>
  <c r="U173"/>
  <c r="U183" s="1"/>
  <c r="T173"/>
  <c r="S173"/>
  <c r="R173"/>
  <c r="Q173"/>
  <c r="P173"/>
  <c r="O173"/>
  <c r="N173"/>
  <c r="M173"/>
  <c r="L173"/>
  <c r="K173"/>
  <c r="J173"/>
  <c r="I172"/>
  <c r="I171"/>
  <c r="I169"/>
  <c r="I168"/>
  <c r="I167"/>
  <c r="I173" s="1"/>
  <c r="U165"/>
  <c r="T165"/>
  <c r="S165"/>
  <c r="R165"/>
  <c r="Q165"/>
  <c r="P165"/>
  <c r="O165"/>
  <c r="N165"/>
  <c r="M165"/>
  <c r="L165"/>
  <c r="K165"/>
  <c r="J165"/>
  <c r="I165" s="1"/>
  <c r="U164"/>
  <c r="T164"/>
  <c r="T183" s="1"/>
  <c r="S164"/>
  <c r="S183" s="1"/>
  <c r="R164"/>
  <c r="R183" s="1"/>
  <c r="Q164"/>
  <c r="P164"/>
  <c r="P183" s="1"/>
  <c r="J164"/>
  <c r="J183" s="1"/>
  <c r="I163"/>
  <c r="I162"/>
  <c r="I161"/>
  <c r="K160"/>
  <c r="I160"/>
  <c r="P145"/>
  <c r="K159"/>
  <c r="I159"/>
  <c r="O158"/>
  <c r="N158"/>
  <c r="I158" s="1"/>
  <c r="I157"/>
  <c r="I156"/>
  <c r="I155"/>
  <c r="I154"/>
  <c r="K153"/>
  <c r="I153" s="1"/>
  <c r="I152"/>
  <c r="L145"/>
  <c r="K151"/>
  <c r="I151" s="1"/>
  <c r="K149"/>
  <c r="I149"/>
  <c r="I148"/>
  <c r="O147"/>
  <c r="O164" s="1"/>
  <c r="O183" s="1"/>
  <c r="N147"/>
  <c r="N164" s="1"/>
  <c r="N183" s="1"/>
  <c r="M164"/>
  <c r="M183" s="1"/>
  <c r="K147"/>
  <c r="K164" s="1"/>
  <c r="K183" s="1"/>
  <c r="I147"/>
  <c r="U145"/>
  <c r="T145"/>
  <c r="S145"/>
  <c r="R145"/>
  <c r="Q145"/>
  <c r="O145"/>
  <c r="N145"/>
  <c r="M145"/>
  <c r="K145"/>
  <c r="J145"/>
  <c r="J59"/>
  <c r="K59"/>
  <c r="L59"/>
  <c r="M59"/>
  <c r="N59"/>
  <c r="O59"/>
  <c r="P59"/>
  <c r="Q59"/>
  <c r="R59"/>
  <c r="S59"/>
  <c r="T59"/>
  <c r="U59"/>
  <c r="V59"/>
  <c r="I59"/>
  <c r="J123"/>
  <c r="K123"/>
  <c r="L123"/>
  <c r="M123"/>
  <c r="N123"/>
  <c r="O123"/>
  <c r="P123"/>
  <c r="Q123"/>
  <c r="R123"/>
  <c r="S123"/>
  <c r="T123"/>
  <c r="U123"/>
  <c r="I123"/>
  <c r="P23"/>
  <c r="O23"/>
  <c r="N23"/>
  <c r="M23"/>
  <c r="M36"/>
  <c r="M40" s="1"/>
  <c r="K36"/>
  <c r="K35"/>
  <c r="L29"/>
  <c r="K29"/>
  <c r="L27"/>
  <c r="K27"/>
  <c r="L25"/>
  <c r="K25"/>
  <c r="L23"/>
  <c r="K23"/>
  <c r="U122"/>
  <c r="T122"/>
  <c r="S122"/>
  <c r="R122"/>
  <c r="Q122"/>
  <c r="P122"/>
  <c r="O122"/>
  <c r="N122"/>
  <c r="M122"/>
  <c r="L122"/>
  <c r="K122"/>
  <c r="J122"/>
  <c r="I121"/>
  <c r="I120"/>
  <c r="I118"/>
  <c r="I117"/>
  <c r="I116"/>
  <c r="I122" s="1"/>
  <c r="U114"/>
  <c r="T114"/>
  <c r="S114"/>
  <c r="R114"/>
  <c r="Q114"/>
  <c r="P114"/>
  <c r="O114"/>
  <c r="N114"/>
  <c r="M114"/>
  <c r="L114"/>
  <c r="K114"/>
  <c r="J114"/>
  <c r="I114" s="1"/>
  <c r="U113"/>
  <c r="T113"/>
  <c r="S113"/>
  <c r="R113"/>
  <c r="Q113"/>
  <c r="P113"/>
  <c r="O113"/>
  <c r="N113"/>
  <c r="M113"/>
  <c r="L113"/>
  <c r="K113"/>
  <c r="J113"/>
  <c r="I112"/>
  <c r="I111"/>
  <c r="I109"/>
  <c r="I108"/>
  <c r="I107"/>
  <c r="U105"/>
  <c r="T105"/>
  <c r="S105"/>
  <c r="R105"/>
  <c r="Q105"/>
  <c r="P105"/>
  <c r="O105"/>
  <c r="N105"/>
  <c r="M105"/>
  <c r="L105"/>
  <c r="K105"/>
  <c r="J105"/>
  <c r="U104"/>
  <c r="T104"/>
  <c r="S104"/>
  <c r="R104"/>
  <c r="Q104"/>
  <c r="J104"/>
  <c r="I103"/>
  <c r="I102"/>
  <c r="I101"/>
  <c r="M100"/>
  <c r="K100"/>
  <c r="I100"/>
  <c r="P99"/>
  <c r="P85" s="1"/>
  <c r="K99"/>
  <c r="I99" s="1"/>
  <c r="O98"/>
  <c r="O104" s="1"/>
  <c r="N98"/>
  <c r="I98" s="1"/>
  <c r="I97"/>
  <c r="I96"/>
  <c r="I95"/>
  <c r="I94"/>
  <c r="L93"/>
  <c r="K93"/>
  <c r="I93"/>
  <c r="I92"/>
  <c r="L91"/>
  <c r="K91"/>
  <c r="K104" s="1"/>
  <c r="I91"/>
  <c r="L89"/>
  <c r="K89"/>
  <c r="I89"/>
  <c r="I88"/>
  <c r="P87"/>
  <c r="P104" s="1"/>
  <c r="O87"/>
  <c r="N87"/>
  <c r="N104" s="1"/>
  <c r="M87"/>
  <c r="M104" s="1"/>
  <c r="L87"/>
  <c r="L104" s="1"/>
  <c r="K87"/>
  <c r="U85"/>
  <c r="T85"/>
  <c r="S85"/>
  <c r="R85"/>
  <c r="Q85"/>
  <c r="M85"/>
  <c r="L85"/>
  <c r="J85"/>
  <c r="U50"/>
  <c r="T50"/>
  <c r="S50"/>
  <c r="R50"/>
  <c r="Q50"/>
  <c r="P50"/>
  <c r="O50"/>
  <c r="N50"/>
  <c r="M50"/>
  <c r="L50"/>
  <c r="K50"/>
  <c r="J50"/>
  <c r="U58"/>
  <c r="T58"/>
  <c r="S58"/>
  <c r="R58"/>
  <c r="Q58"/>
  <c r="P58"/>
  <c r="O58"/>
  <c r="N58"/>
  <c r="M58"/>
  <c r="L58"/>
  <c r="K58"/>
  <c r="J58"/>
  <c r="I57"/>
  <c r="I56"/>
  <c r="I54"/>
  <c r="I53"/>
  <c r="I52"/>
  <c r="U40"/>
  <c r="K40"/>
  <c r="I39"/>
  <c r="U49"/>
  <c r="T49"/>
  <c r="S49"/>
  <c r="R49"/>
  <c r="P49"/>
  <c r="O49"/>
  <c r="N49"/>
  <c r="M49"/>
  <c r="L49"/>
  <c r="K49"/>
  <c r="J49"/>
  <c r="I48"/>
  <c r="I47"/>
  <c r="I45"/>
  <c r="I44"/>
  <c r="Q49"/>
  <c r="I43"/>
  <c r="U41"/>
  <c r="T41"/>
  <c r="S41"/>
  <c r="R41"/>
  <c r="Q41"/>
  <c r="P41"/>
  <c r="O41"/>
  <c r="N41"/>
  <c r="M41"/>
  <c r="L41"/>
  <c r="K41"/>
  <c r="J41"/>
  <c r="R40"/>
  <c r="Q40"/>
  <c r="L40"/>
  <c r="J40"/>
  <c r="I38"/>
  <c r="I37"/>
  <c r="P21"/>
  <c r="I36"/>
  <c r="I35"/>
  <c r="O34"/>
  <c r="O21" s="1"/>
  <c r="N34"/>
  <c r="N40" s="1"/>
  <c r="I33"/>
  <c r="I32"/>
  <c r="I31"/>
  <c r="I30"/>
  <c r="I28"/>
  <c r="I27"/>
  <c r="T21"/>
  <c r="S40"/>
  <c r="I25"/>
  <c r="I24"/>
  <c r="S21"/>
  <c r="R21"/>
  <c r="Q21"/>
  <c r="L21"/>
  <c r="K21"/>
  <c r="J21"/>
  <c r="I302" l="1"/>
  <c r="I273"/>
  <c r="K273"/>
  <c r="O273"/>
  <c r="S273"/>
  <c r="I308"/>
  <c r="I310" s="1"/>
  <c r="N292"/>
  <c r="N311" s="1"/>
  <c r="T247"/>
  <c r="S247"/>
  <c r="M247"/>
  <c r="R247"/>
  <c r="I237"/>
  <c r="I229"/>
  <c r="I246"/>
  <c r="I238"/>
  <c r="U247"/>
  <c r="Q247"/>
  <c r="I222"/>
  <c r="K228"/>
  <c r="K247" s="1"/>
  <c r="M209"/>
  <c r="I209" s="1"/>
  <c r="Q183"/>
  <c r="I145"/>
  <c r="L164"/>
  <c r="L183" s="1"/>
  <c r="I105"/>
  <c r="I113"/>
  <c r="K85"/>
  <c r="O85"/>
  <c r="N85"/>
  <c r="I87"/>
  <c r="I104"/>
  <c r="I50"/>
  <c r="I58"/>
  <c r="O40"/>
  <c r="I34"/>
  <c r="U21"/>
  <c r="I29"/>
  <c r="I41"/>
  <c r="I49"/>
  <c r="N21"/>
  <c r="I23"/>
  <c r="M21"/>
  <c r="P40"/>
  <c r="T40"/>
  <c r="I292" l="1"/>
  <c r="I311" s="1"/>
  <c r="I228"/>
  <c r="I247" s="1"/>
  <c r="I164"/>
  <c r="I183" s="1"/>
  <c r="I85"/>
  <c r="I21"/>
  <c r="I40"/>
</calcChain>
</file>

<file path=xl/sharedStrings.xml><?xml version="1.0" encoding="utf-8"?>
<sst xmlns="http://schemas.openxmlformats.org/spreadsheetml/2006/main" count="666" uniqueCount="94">
  <si>
    <t>Приложение 2</t>
  </si>
  <si>
    <t>к Правилам исполнения бюджета и его кассового обслуживания</t>
  </si>
  <si>
    <t>УТВЕРЖДАЮ</t>
  </si>
  <si>
    <t>Ответственный секретарь центрального исполнительного органа</t>
  </si>
  <si>
    <t>(должностное лицо, на которого в установленном порядке возложены</t>
  </si>
  <si>
    <t>полномочия ответственного органа) Руководитель администратора</t>
  </si>
  <si>
    <t>бюджетных программ</t>
  </si>
  <si>
    <t>Семенюк Т В</t>
  </si>
  <si>
    <t>подпись</t>
  </si>
  <si>
    <t>Ф И О</t>
  </si>
  <si>
    <t>Индивидуальный план финансирования государственного учреждения по платежам</t>
  </si>
  <si>
    <t>М П.</t>
  </si>
  <si>
    <t>Вид бюджета</t>
  </si>
  <si>
    <t>03</t>
  </si>
  <si>
    <t xml:space="preserve"> Местный</t>
  </si>
  <si>
    <t>Период</t>
  </si>
  <si>
    <t>Единица измерения</t>
  </si>
  <si>
    <t>тысяч тенге</t>
  </si>
  <si>
    <t>Администратор бюджетной программы</t>
  </si>
  <si>
    <t>Отдел образования г.Степногорска</t>
  </si>
  <si>
    <t>Государственное учреждение</t>
  </si>
  <si>
    <t>Детский сад №6 " Мерей " п. Шантобе</t>
  </si>
  <si>
    <t>Код администратора</t>
  </si>
  <si>
    <t>программа</t>
  </si>
  <si>
    <t>подпрограмма</t>
  </si>
  <si>
    <t>Специфика</t>
  </si>
  <si>
    <t>План по месяцам</t>
  </si>
  <si>
    <t>Наименование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</si>
  <si>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</si>
  <si>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</si>
  <si>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</si>
  <si>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</si>
  <si>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</si>
  <si>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</si>
  <si>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</si>
  <si>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</si>
  <si>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</si>
  <si>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</si>
  <si>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</si>
  <si>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</si>
  <si>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464</t>
  </si>
  <si>
    <t>009</t>
  </si>
  <si>
    <t>015</t>
  </si>
  <si>
    <t>Обеспечение деятельности организаций</t>
  </si>
  <si>
    <t>дошкольного воспитания и обучения</t>
  </si>
  <si>
    <t>Оплата труда</t>
  </si>
  <si>
    <t>Компенсационные выплаты</t>
  </si>
  <si>
    <t>Социальный налог</t>
  </si>
  <si>
    <t>Социальные отчисления в Государ-</t>
  </si>
  <si>
    <t>ственный фонд соц.страхования</t>
  </si>
  <si>
    <t>Взносы в обязат.страхование гражд.автотрансп.средств</t>
  </si>
  <si>
    <t>Медицинское страхование</t>
  </si>
  <si>
    <t xml:space="preserve">Приобретение медикаментов </t>
  </si>
  <si>
    <t>Приобретение, пошив и ремонт вещевого имущества</t>
  </si>
  <si>
    <t>Приобретение топлива, горюче смазочных материалов</t>
  </si>
  <si>
    <t>Приобретение прочих запасов</t>
  </si>
  <si>
    <t>Оплата коммунальных услуг</t>
  </si>
  <si>
    <t>Оплата услуг связи</t>
  </si>
  <si>
    <t>Оплата прочих услуг и работ</t>
  </si>
  <si>
    <t>Командировки</t>
  </si>
  <si>
    <t>Прочие текущие затраты</t>
  </si>
  <si>
    <t>Итого сумма расходов</t>
  </si>
  <si>
    <t>011</t>
  </si>
  <si>
    <t>Итого сумма расходов :</t>
  </si>
  <si>
    <t>Всего сумма расходов :</t>
  </si>
  <si>
    <t>Руководитель государственного предприятия</t>
  </si>
  <si>
    <t>Г Кушерова</t>
  </si>
  <si>
    <t xml:space="preserve">Руководитель структурного подразделения государственного </t>
  </si>
  <si>
    <t xml:space="preserve">         ( подпись)</t>
  </si>
  <si>
    <t>( расшифровка подписи)</t>
  </si>
  <si>
    <t xml:space="preserve">предприятия, ответственного за составление Индивидуального </t>
  </si>
  <si>
    <t>Н Демина</t>
  </si>
  <si>
    <t>плана финансирования</t>
  </si>
  <si>
    <t>2020 год</t>
  </si>
  <si>
    <t>Финансовый план на 2020 год</t>
  </si>
  <si>
    <t>Материально-техническое оснащение гос.предпр.</t>
  </si>
  <si>
    <t>028</t>
  </si>
  <si>
    <t>20 февраля  2020 год</t>
  </si>
  <si>
    <t>20 января  2020 год</t>
  </si>
  <si>
    <t>18 марта  2020 год</t>
  </si>
  <si>
    <t>23 апреля  2020 год</t>
  </si>
  <si>
    <t>22 мая  2020 год</t>
  </si>
  <si>
    <t>26 декабря  2020 год</t>
  </si>
  <si>
    <t>полномочия ответственного органа) И.О.Руководителя администратора</t>
  </si>
  <si>
    <t>Дополнительные денежные выплаты</t>
  </si>
  <si>
    <t>Шабаров С.С.</t>
  </si>
  <si>
    <t>2021 год</t>
  </si>
  <si>
    <t>Финансовый план на 2021 год</t>
  </si>
  <si>
    <t>202</t>
  </si>
  <si>
    <t>045</t>
  </si>
  <si>
    <t>261</t>
  </si>
  <si>
    <t>27 августа  2021 год</t>
  </si>
  <si>
    <t>Оспанова А.К.</t>
  </si>
  <si>
    <t>И.О.Руководителя государственного предприятия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</si>
</sst>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i/>
      <sz val="6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u/>
      <sz val="8"/>
      <name val="Arial Cyr"/>
      <charset val="204"/>
    </font>
    <font>
      <b/>
      <sz val="8"/>
      <name val="Arial Cyr"/>
      <charset val="204"/>
    </font>
    <font>
      <b/>
      <i/>
      <sz val="8"/>
      <name val="Arial Cyr"/>
      <charset val="204"/>
    </font>
    <font>
      <sz val="7"/>
      <name val="Arial Cyr"/>
      <charset val="204"/>
    </font>
    <font>
      <b/>
      <sz val="7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Arial Cyr"/>
      <charset val="204"/>
    </font>
    <font>
      <b/>
      <sz val="8"/>
      <color theme="1"/>
      <name val="Arial Cyr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Border="1"/>
    <xf numFmtId="0" fontId="7" fillId="0" borderId="0" xfId="0" applyFont="1" applyBorder="1"/>
    <xf numFmtId="0" fontId="6" fillId="2" borderId="0" xfId="0" applyFont="1" applyFill="1"/>
    <xf numFmtId="0" fontId="8" fillId="0" borderId="3" xfId="0" applyFont="1" applyBorder="1"/>
    <xf numFmtId="49" fontId="8" fillId="0" borderId="3" xfId="0" applyNumberFormat="1" applyFont="1" applyBorder="1"/>
    <xf numFmtId="0" fontId="8" fillId="0" borderId="0" xfId="0" applyFont="1" applyBorder="1"/>
    <xf numFmtId="0" fontId="8" fillId="0" borderId="0" xfId="0" applyFont="1"/>
    <xf numFmtId="0" fontId="8" fillId="0" borderId="1" xfId="0" applyFont="1" applyBorder="1"/>
    <xf numFmtId="0" fontId="8" fillId="2" borderId="1" xfId="0" applyFont="1" applyFill="1" applyBorder="1"/>
    <xf numFmtId="0" fontId="9" fillId="0" borderId="0" xfId="0" applyFont="1" applyBorder="1"/>
    <xf numFmtId="0" fontId="9" fillId="0" borderId="1" xfId="0" applyFont="1" applyBorder="1"/>
    <xf numFmtId="0" fontId="9" fillId="0" borderId="0" xfId="0" applyFont="1"/>
    <xf numFmtId="0" fontId="8" fillId="0" borderId="0" xfId="0" applyFont="1" applyFill="1" applyBorder="1"/>
    <xf numFmtId="0" fontId="8" fillId="0" borderId="2" xfId="0" applyFont="1" applyBorder="1"/>
    <xf numFmtId="0" fontId="9" fillId="0" borderId="2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0" xfId="0" applyFont="1" applyBorder="1"/>
    <xf numFmtId="0" fontId="3" fillId="0" borderId="15" xfId="0" applyFont="1" applyBorder="1"/>
    <xf numFmtId="0" fontId="3" fillId="0" borderId="1" xfId="0" applyFont="1" applyBorder="1"/>
    <xf numFmtId="0" fontId="3" fillId="0" borderId="21" xfId="0" applyFont="1" applyBorder="1"/>
    <xf numFmtId="49" fontId="1" fillId="0" borderId="22" xfId="0" applyNumberFormat="1" applyFont="1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0" xfId="0" applyFont="1" applyBorder="1"/>
    <xf numFmtId="0" fontId="1" fillId="0" borderId="15" xfId="0" applyFont="1" applyBorder="1"/>
    <xf numFmtId="0" fontId="1" fillId="0" borderId="25" xfId="0" applyFont="1" applyBorder="1"/>
    <xf numFmtId="0" fontId="1" fillId="0" borderId="26" xfId="0" applyFont="1" applyBorder="1" applyAlignment="1">
      <alignment textRotation="90"/>
    </xf>
    <xf numFmtId="0" fontId="1" fillId="0" borderId="27" xfId="0" applyFont="1" applyBorder="1" applyAlignment="1">
      <alignment textRotation="90"/>
    </xf>
    <xf numFmtId="0" fontId="1" fillId="0" borderId="28" xfId="0" applyFont="1" applyBorder="1" applyAlignment="1">
      <alignment textRotation="90"/>
    </xf>
    <xf numFmtId="0" fontId="1" fillId="0" borderId="29" xfId="0" applyFont="1" applyBorder="1"/>
    <xf numFmtId="0" fontId="1" fillId="0" borderId="30" xfId="0" applyFont="1" applyBorder="1"/>
    <xf numFmtId="0" fontId="1" fillId="0" borderId="19" xfId="0" applyFont="1" applyBorder="1"/>
    <xf numFmtId="0" fontId="1" fillId="0" borderId="32" xfId="0" applyFont="1" applyBorder="1"/>
    <xf numFmtId="0" fontId="1" fillId="0" borderId="19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0" borderId="16" xfId="0" applyFont="1" applyBorder="1"/>
    <xf numFmtId="0" fontId="1" fillId="0" borderId="3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0" borderId="13" xfId="0" applyFont="1" applyBorder="1"/>
    <xf numFmtId="0" fontId="1" fillId="0" borderId="15" xfId="0" applyFont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2" xfId="0" applyFont="1" applyBorder="1"/>
    <xf numFmtId="0" fontId="1" fillId="0" borderId="21" xfId="0" applyFont="1" applyBorder="1" applyAlignment="1">
      <alignment horizontal="center"/>
    </xf>
    <xf numFmtId="0" fontId="1" fillId="0" borderId="3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16" xfId="0" applyFont="1" applyBorder="1" applyAlignment="1">
      <alignment horizontal="right"/>
    </xf>
    <xf numFmtId="0" fontId="6" fillId="0" borderId="16" xfId="0" applyFont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38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/>
    <xf numFmtId="0" fontId="6" fillId="0" borderId="32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1" fillId="0" borderId="32" xfId="0" applyFont="1" applyBorder="1" applyAlignment="1">
      <alignment horizontal="right"/>
    </xf>
    <xf numFmtId="0" fontId="6" fillId="2" borderId="32" xfId="0" applyFont="1" applyFill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9" fontId="0" fillId="0" borderId="0" xfId="0" applyNumberFormat="1"/>
    <xf numFmtId="0" fontId="6" fillId="0" borderId="16" xfId="0" applyFont="1" applyBorder="1" applyAlignment="1">
      <alignment horizontal="center"/>
    </xf>
    <xf numFmtId="0" fontId="1" fillId="2" borderId="32" xfId="0" applyFont="1" applyFill="1" applyBorder="1"/>
    <xf numFmtId="0" fontId="1" fillId="2" borderId="3" xfId="0" applyFont="1" applyFill="1" applyBorder="1"/>
    <xf numFmtId="0" fontId="0" fillId="2" borderId="0" xfId="0" applyFill="1"/>
    <xf numFmtId="0" fontId="1" fillId="2" borderId="34" xfId="0" applyFont="1" applyFill="1" applyBorder="1"/>
    <xf numFmtId="0" fontId="1" fillId="2" borderId="35" xfId="0" applyFont="1" applyFill="1" applyBorder="1"/>
    <xf numFmtId="0" fontId="6" fillId="0" borderId="16" xfId="0" applyFont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1" fillId="0" borderId="3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6" fillId="0" borderId="16" xfId="0" applyFont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1" fillId="0" borderId="3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6" fillId="0" borderId="16" xfId="0" applyFont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0" borderId="3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6" fillId="0" borderId="16" xfId="0" applyFont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32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9" fillId="2" borderId="0" xfId="0" applyFont="1" applyFill="1"/>
    <xf numFmtId="0" fontId="6" fillId="2" borderId="15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11" fillId="2" borderId="32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1" fillId="0" borderId="3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6" fillId="0" borderId="16" xfId="0" applyFont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13" fillId="0" borderId="0" xfId="0" applyFont="1"/>
    <xf numFmtId="0" fontId="12" fillId="2" borderId="32" xfId="0" applyFont="1" applyFill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32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1" fillId="0" borderId="41" xfId="0" applyFont="1" applyBorder="1"/>
    <xf numFmtId="0" fontId="1" fillId="0" borderId="42" xfId="0" applyFont="1" applyBorder="1"/>
    <xf numFmtId="0" fontId="1" fillId="0" borderId="42" xfId="0" applyFont="1" applyBorder="1" applyAlignment="1">
      <alignment horizontal="right"/>
    </xf>
    <xf numFmtId="0" fontId="6" fillId="0" borderId="42" xfId="0" applyFont="1" applyBorder="1" applyAlignment="1">
      <alignment horizontal="center"/>
    </xf>
    <xf numFmtId="0" fontId="1" fillId="0" borderId="3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6" fillId="0" borderId="16" xfId="0" applyFont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10" fillId="0" borderId="0" xfId="0" applyFont="1"/>
    <xf numFmtId="0" fontId="6" fillId="2" borderId="16" xfId="0" applyFont="1" applyFill="1" applyBorder="1" applyAlignment="1">
      <alignment horizontal="center"/>
    </xf>
    <xf numFmtId="0" fontId="6" fillId="2" borderId="42" xfId="0" applyFont="1" applyFill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34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35" xfId="0" applyFont="1" applyFill="1" applyBorder="1" applyAlignment="1">
      <alignment horizontal="left"/>
    </xf>
    <xf numFmtId="0" fontId="6" fillId="0" borderId="32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4" xfId="0" applyFont="1" applyBorder="1" applyAlignment="1">
      <alignment vertical="justify"/>
    </xf>
    <xf numFmtId="0" fontId="1" fillId="0" borderId="3" xfId="0" applyFont="1" applyBorder="1" applyAlignment="1">
      <alignment vertical="justify"/>
    </xf>
    <xf numFmtId="0" fontId="1" fillId="0" borderId="35" xfId="0" applyFont="1" applyBorder="1" applyAlignment="1">
      <alignment vertical="justify"/>
    </xf>
    <xf numFmtId="0" fontId="1" fillId="2" borderId="34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35" xfId="0" applyFont="1" applyFill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2" borderId="1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8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0" borderId="19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20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justify" textRotation="90"/>
    </xf>
    <xf numFmtId="0" fontId="3" fillId="0" borderId="13" xfId="0" applyFont="1" applyBorder="1" applyAlignment="1">
      <alignment horizontal="center" vertical="justify" textRotation="90"/>
    </xf>
    <xf numFmtId="0" fontId="3" fillId="0" borderId="19" xfId="0" applyFont="1" applyBorder="1" applyAlignment="1">
      <alignment horizontal="center" vertical="justify" textRotation="9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  <xf numFmtId="0" fontId="3" fillId="0" borderId="19" xfId="0" applyFont="1" applyBorder="1" applyAlignment="1">
      <alignment horizontal="center" vertical="center" textRotation="90"/>
    </xf>
    <xf numFmtId="0" fontId="3" fillId="2" borderId="16" xfId="0" applyFont="1" applyFill="1" applyBorder="1" applyAlignment="1">
      <alignment horizontal="center" vertical="center" textRotation="90"/>
    </xf>
    <xf numFmtId="0" fontId="3" fillId="2" borderId="13" xfId="0" applyFont="1" applyFill="1" applyBorder="1" applyAlignment="1">
      <alignment horizontal="center" vertical="center" textRotation="90"/>
    </xf>
    <xf numFmtId="0" fontId="3" fillId="2" borderId="19" xfId="0" applyFont="1" applyFill="1" applyBorder="1" applyAlignment="1">
      <alignment horizontal="center" vertical="center" textRotation="90"/>
    </xf>
    <xf numFmtId="0" fontId="3" fillId="0" borderId="17" xfId="0" applyFont="1" applyBorder="1" applyAlignment="1">
      <alignment horizontal="center" vertical="center" textRotation="90"/>
    </xf>
    <xf numFmtId="0" fontId="3" fillId="0" borderId="14" xfId="0" applyFont="1" applyBorder="1" applyAlignment="1">
      <alignment horizontal="center" vertical="center" textRotation="90"/>
    </xf>
    <xf numFmtId="0" fontId="3" fillId="0" borderId="20" xfId="0" applyFont="1" applyBorder="1" applyAlignment="1">
      <alignment horizontal="center" vertical="center" textRotation="90"/>
    </xf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4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right"/>
    </xf>
    <xf numFmtId="0" fontId="10" fillId="0" borderId="4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20"/>
  <sheetViews>
    <sheetView topLeftCell="A300" workbookViewId="0">
      <selection activeCell="I317" sqref="I317"/>
    </sheetView>
  </sheetViews>
  <sheetFormatPr defaultRowHeight="14.4"/>
  <cols>
    <col min="8" max="8" width="15.796875" customWidth="1"/>
    <col min="9" max="9" width="9.3984375" customWidth="1"/>
    <col min="21" max="21" width="8.69921875" customWidth="1"/>
    <col min="22" max="22" width="0.296875" customWidth="1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 t="s">
        <v>0</v>
      </c>
      <c r="T1" s="2"/>
      <c r="U1" s="2"/>
    </row>
    <row r="2" spans="1:2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205" t="s">
        <v>1</v>
      </c>
      <c r="M2" s="205"/>
      <c r="N2" s="205"/>
      <c r="O2" s="205"/>
      <c r="P2" s="205"/>
      <c r="Q2" s="205"/>
      <c r="R2" s="205"/>
      <c r="S2" s="205"/>
      <c r="T2" s="205"/>
      <c r="U2" s="205"/>
    </row>
    <row r="3" spans="1:21">
      <c r="A3" s="3"/>
      <c r="B3" s="3"/>
      <c r="C3" s="3"/>
      <c r="D3" s="3"/>
      <c r="E3" s="3"/>
      <c r="F3" s="3"/>
      <c r="K3" s="3"/>
      <c r="L3" s="4"/>
      <c r="M3" s="4"/>
      <c r="N3" s="4"/>
      <c r="O3" s="4"/>
      <c r="P3" s="4"/>
      <c r="Q3" s="4"/>
      <c r="R3" s="4"/>
      <c r="S3" s="208" t="s">
        <v>2</v>
      </c>
      <c r="T3" s="208"/>
      <c r="U3" s="208"/>
    </row>
    <row r="4" spans="1:2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205" t="s">
        <v>3</v>
      </c>
      <c r="M4" s="205"/>
      <c r="N4" s="205"/>
      <c r="O4" s="205"/>
      <c r="P4" s="205"/>
      <c r="Q4" s="205"/>
      <c r="R4" s="205"/>
      <c r="S4" s="205"/>
      <c r="T4" s="205"/>
      <c r="U4" s="205"/>
    </row>
    <row r="5" spans="1:2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205" t="s">
        <v>4</v>
      </c>
      <c r="M5" s="205"/>
      <c r="N5" s="205"/>
      <c r="O5" s="205"/>
      <c r="P5" s="205"/>
      <c r="Q5" s="205"/>
      <c r="R5" s="205"/>
      <c r="S5" s="205"/>
      <c r="T5" s="205"/>
      <c r="U5" s="205"/>
    </row>
    <row r="6" spans="1:2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205" t="s">
        <v>5</v>
      </c>
      <c r="M6" s="205"/>
      <c r="N6" s="205"/>
      <c r="O6" s="205"/>
      <c r="P6" s="205"/>
      <c r="Q6" s="205"/>
      <c r="R6" s="205"/>
      <c r="S6" s="205"/>
      <c r="T6" s="205"/>
      <c r="U6" s="205"/>
    </row>
    <row r="7" spans="1:2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205" t="s">
        <v>6</v>
      </c>
      <c r="M7" s="205"/>
      <c r="N7" s="205"/>
      <c r="O7" s="205"/>
      <c r="P7" s="205"/>
      <c r="Q7" s="205"/>
      <c r="R7" s="205"/>
      <c r="S7" s="205"/>
      <c r="T7" s="205"/>
      <c r="U7" s="205"/>
    </row>
    <row r="8" spans="1:2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5"/>
      <c r="M8" s="5"/>
      <c r="N8" s="5"/>
      <c r="O8" s="5"/>
      <c r="P8" s="206"/>
      <c r="Q8" s="206"/>
      <c r="R8" s="206"/>
      <c r="S8" s="207" t="s">
        <v>7</v>
      </c>
      <c r="T8" s="207"/>
      <c r="U8" s="207"/>
    </row>
    <row r="9" spans="1:2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5"/>
      <c r="M9" s="5"/>
      <c r="N9" s="5"/>
      <c r="O9" s="5"/>
      <c r="P9" s="177" t="s">
        <v>8</v>
      </c>
      <c r="Q9" s="177"/>
      <c r="R9" s="177"/>
      <c r="S9" s="178" t="s">
        <v>9</v>
      </c>
      <c r="T9" s="178"/>
      <c r="U9" s="5"/>
    </row>
    <row r="10" spans="1:2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5"/>
      <c r="M10" s="5"/>
      <c r="N10" s="5"/>
      <c r="O10" s="5"/>
      <c r="P10" s="179" t="s">
        <v>78</v>
      </c>
      <c r="Q10" s="179"/>
      <c r="R10" s="179"/>
      <c r="S10" s="6"/>
      <c r="T10" s="6"/>
      <c r="U10" s="6"/>
    </row>
    <row r="11" spans="1:21">
      <c r="A11" s="7"/>
      <c r="B11" s="8"/>
      <c r="C11" s="8"/>
      <c r="D11" s="8"/>
      <c r="E11" s="8" t="s">
        <v>10</v>
      </c>
      <c r="F11" s="8"/>
      <c r="G11" s="9"/>
      <c r="H11" s="7"/>
      <c r="I11" s="7"/>
      <c r="J11" s="7"/>
      <c r="K11" s="7"/>
      <c r="L11" s="7"/>
      <c r="M11" s="7"/>
      <c r="N11" s="7"/>
      <c r="O11" s="7"/>
      <c r="P11" s="10" t="s">
        <v>11</v>
      </c>
      <c r="Q11" s="10"/>
      <c r="R11" s="10"/>
      <c r="S11" s="7"/>
      <c r="T11" s="7"/>
      <c r="U11" s="7"/>
    </row>
    <row r="12" spans="1:21">
      <c r="A12" s="11" t="s">
        <v>12</v>
      </c>
      <c r="B12" s="11"/>
      <c r="C12" s="11"/>
      <c r="D12" s="12" t="s">
        <v>13</v>
      </c>
      <c r="E12" s="11" t="s">
        <v>14</v>
      </c>
      <c r="F12" s="13"/>
      <c r="G12" s="13"/>
      <c r="H12" s="13"/>
      <c r="I12" s="13"/>
      <c r="J12" s="13"/>
      <c r="K12" s="13"/>
      <c r="L12" s="13"/>
      <c r="M12" s="13"/>
      <c r="N12" s="14"/>
      <c r="O12" s="14"/>
      <c r="P12" s="14"/>
      <c r="Q12" s="13"/>
      <c r="R12" s="13"/>
      <c r="S12" s="13"/>
      <c r="T12" s="13"/>
      <c r="U12" s="13"/>
    </row>
    <row r="13" spans="1:21">
      <c r="A13" s="11" t="s">
        <v>15</v>
      </c>
      <c r="B13" s="15"/>
      <c r="C13" s="15"/>
      <c r="D13" s="15"/>
      <c r="E13" s="16" t="s">
        <v>73</v>
      </c>
      <c r="F13" s="13"/>
      <c r="G13" s="13"/>
      <c r="H13" s="13"/>
      <c r="I13" s="13"/>
      <c r="J13" s="13"/>
      <c r="K13" s="13"/>
      <c r="L13" s="13"/>
      <c r="M13" s="13"/>
      <c r="N13" s="14"/>
      <c r="O13" s="14"/>
      <c r="P13" s="14"/>
      <c r="Q13" s="13"/>
      <c r="R13" s="13"/>
      <c r="S13" s="13"/>
      <c r="T13" s="13"/>
      <c r="U13" s="13"/>
    </row>
    <row r="14" spans="1:21">
      <c r="A14" s="11" t="s">
        <v>16</v>
      </c>
      <c r="B14" s="11"/>
      <c r="C14" s="11"/>
      <c r="D14" s="11"/>
      <c r="E14" s="11" t="s">
        <v>17</v>
      </c>
      <c r="F14" s="17"/>
      <c r="G14" s="17"/>
      <c r="H14" s="17"/>
      <c r="I14" s="17"/>
      <c r="J14" s="17"/>
      <c r="K14" s="13"/>
      <c r="L14" s="13"/>
      <c r="M14" s="13"/>
      <c r="N14" s="14"/>
      <c r="O14" s="14"/>
      <c r="P14" s="14"/>
      <c r="Q14" s="13"/>
      <c r="R14" s="13"/>
      <c r="S14" s="13"/>
      <c r="T14" s="13"/>
      <c r="U14" s="13"/>
    </row>
    <row r="15" spans="1:21">
      <c r="A15" s="11" t="s">
        <v>18</v>
      </c>
      <c r="B15" s="11"/>
      <c r="C15" s="11"/>
      <c r="D15" s="11"/>
      <c r="E15" s="11"/>
      <c r="F15" s="18" t="s">
        <v>19</v>
      </c>
      <c r="G15" s="18"/>
      <c r="H15" s="14"/>
      <c r="I15" s="19"/>
      <c r="J15" s="14"/>
      <c r="K15" s="17"/>
      <c r="L15" s="17"/>
      <c r="M15" s="13"/>
      <c r="N15" s="14"/>
      <c r="O15" s="14"/>
      <c r="P15" s="14"/>
      <c r="Q15" s="20"/>
      <c r="R15" s="13"/>
      <c r="S15" s="13"/>
      <c r="T15" s="13"/>
      <c r="U15" s="13"/>
    </row>
    <row r="16" spans="1:21" ht="15" thickBot="1">
      <c r="A16" s="21" t="s">
        <v>20</v>
      </c>
      <c r="B16" s="21"/>
      <c r="C16" s="21"/>
      <c r="D16" s="21"/>
      <c r="E16" s="21"/>
      <c r="F16" s="22" t="s">
        <v>21</v>
      </c>
      <c r="G16" s="22"/>
      <c r="H16" s="14"/>
      <c r="I16" s="19"/>
      <c r="J16" s="14"/>
      <c r="K16" s="14"/>
      <c r="L16" s="14"/>
      <c r="M16" s="19"/>
      <c r="N16" s="180"/>
      <c r="O16" s="180"/>
      <c r="P16" s="180"/>
      <c r="Q16" s="180"/>
      <c r="R16" s="13"/>
      <c r="S16" s="13"/>
      <c r="T16" s="13"/>
      <c r="U16" s="13"/>
    </row>
    <row r="17" spans="1:22">
      <c r="A17" s="181" t="s">
        <v>22</v>
      </c>
      <c r="B17" s="184" t="s">
        <v>23</v>
      </c>
      <c r="C17" s="184" t="s">
        <v>24</v>
      </c>
      <c r="D17" s="187" t="s">
        <v>25</v>
      </c>
      <c r="E17" s="23"/>
      <c r="F17" s="23"/>
      <c r="G17" s="23"/>
      <c r="H17" s="24"/>
      <c r="I17" s="190" t="s">
        <v>74</v>
      </c>
      <c r="J17" s="193" t="s">
        <v>26</v>
      </c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5"/>
    </row>
    <row r="18" spans="1:22">
      <c r="A18" s="182"/>
      <c r="B18" s="185"/>
      <c r="C18" s="185"/>
      <c r="D18" s="188"/>
      <c r="E18" s="25"/>
      <c r="F18" s="25" t="s">
        <v>27</v>
      </c>
      <c r="G18" s="25"/>
      <c r="H18" s="26"/>
      <c r="I18" s="191"/>
      <c r="J18" s="196" t="s">
        <v>28</v>
      </c>
      <c r="K18" s="196" t="s">
        <v>29</v>
      </c>
      <c r="L18" s="199" t="s">
        <v>30</v>
      </c>
      <c r="M18" s="196" t="s">
        <v>31</v>
      </c>
      <c r="N18" s="199" t="s">
        <v>32</v>
      </c>
      <c r="O18" s="196" t="s">
        <v>33</v>
      </c>
      <c r="P18" s="196" t="s">
        <v>34</v>
      </c>
      <c r="Q18" s="196" t="s">
        <v>35</v>
      </c>
      <c r="R18" s="196" t="s">
        <v>36</v>
      </c>
      <c r="S18" s="196" t="s">
        <v>37</v>
      </c>
      <c r="T18" s="196" t="s">
        <v>38</v>
      </c>
      <c r="U18" s="202" t="s">
        <v>39</v>
      </c>
    </row>
    <row r="19" spans="1:22">
      <c r="A19" s="182"/>
      <c r="B19" s="185"/>
      <c r="C19" s="185"/>
      <c r="D19" s="188"/>
      <c r="E19" s="25"/>
      <c r="F19" s="25"/>
      <c r="G19" s="25"/>
      <c r="H19" s="26"/>
      <c r="I19" s="191"/>
      <c r="J19" s="197"/>
      <c r="K19" s="197"/>
      <c r="L19" s="200"/>
      <c r="M19" s="197"/>
      <c r="N19" s="200"/>
      <c r="O19" s="197"/>
      <c r="P19" s="197"/>
      <c r="Q19" s="197"/>
      <c r="R19" s="197"/>
      <c r="S19" s="197"/>
      <c r="T19" s="197"/>
      <c r="U19" s="203"/>
    </row>
    <row r="20" spans="1:22">
      <c r="A20" s="183"/>
      <c r="B20" s="186"/>
      <c r="C20" s="186"/>
      <c r="D20" s="189"/>
      <c r="E20" s="27"/>
      <c r="F20" s="27"/>
      <c r="G20" s="27"/>
      <c r="H20" s="28"/>
      <c r="I20" s="192"/>
      <c r="J20" s="198"/>
      <c r="K20" s="198"/>
      <c r="L20" s="201"/>
      <c r="M20" s="198"/>
      <c r="N20" s="201"/>
      <c r="O20" s="198"/>
      <c r="P20" s="198"/>
      <c r="Q20" s="198"/>
      <c r="R20" s="198"/>
      <c r="S20" s="198"/>
      <c r="T20" s="198"/>
      <c r="U20" s="204"/>
    </row>
    <row r="21" spans="1:22">
      <c r="A21" s="29" t="s">
        <v>40</v>
      </c>
      <c r="B21" s="30" t="s">
        <v>41</v>
      </c>
      <c r="C21" s="31" t="s">
        <v>42</v>
      </c>
      <c r="D21" s="32"/>
      <c r="E21" s="33" t="s">
        <v>43</v>
      </c>
      <c r="F21" s="33"/>
      <c r="G21" s="33"/>
      <c r="H21" s="34"/>
      <c r="I21" s="173">
        <f>SUM(J21:U22)</f>
        <v>52062</v>
      </c>
      <c r="J21" s="173">
        <f>SUM(J23:J38)</f>
        <v>3522</v>
      </c>
      <c r="K21" s="173">
        <f t="shared" ref="K21:U21" si="0">SUM(K23:K38)</f>
        <v>5463</v>
      </c>
      <c r="L21" s="176">
        <f t="shared" si="0"/>
        <v>4648</v>
      </c>
      <c r="M21" s="173">
        <f t="shared" si="0"/>
        <v>5026</v>
      </c>
      <c r="N21" s="176">
        <f t="shared" si="0"/>
        <v>6010</v>
      </c>
      <c r="O21" s="173">
        <f t="shared" si="0"/>
        <v>5114</v>
      </c>
      <c r="P21" s="173">
        <f t="shared" si="0"/>
        <v>3248</v>
      </c>
      <c r="Q21" s="173">
        <f t="shared" si="0"/>
        <v>3833</v>
      </c>
      <c r="R21" s="173">
        <f t="shared" si="0"/>
        <v>3684</v>
      </c>
      <c r="S21" s="173">
        <f t="shared" si="0"/>
        <v>3933</v>
      </c>
      <c r="T21" s="173">
        <f t="shared" si="0"/>
        <v>4054</v>
      </c>
      <c r="U21" s="174">
        <f t="shared" si="0"/>
        <v>3527</v>
      </c>
    </row>
    <row r="22" spans="1:22" ht="15" thickBot="1">
      <c r="A22" s="35"/>
      <c r="B22" s="36"/>
      <c r="C22" s="37"/>
      <c r="D22" s="38"/>
      <c r="E22" s="39" t="s">
        <v>44</v>
      </c>
      <c r="F22" s="39"/>
      <c r="G22" s="39"/>
      <c r="H22" s="40"/>
      <c r="I22" s="152"/>
      <c r="J22" s="152"/>
      <c r="K22" s="152"/>
      <c r="L22" s="154"/>
      <c r="M22" s="152"/>
      <c r="N22" s="154"/>
      <c r="O22" s="152"/>
      <c r="P22" s="152"/>
      <c r="Q22" s="152"/>
      <c r="R22" s="152"/>
      <c r="S22" s="152"/>
      <c r="T22" s="152"/>
      <c r="U22" s="175"/>
    </row>
    <row r="23" spans="1:22">
      <c r="A23" s="41"/>
      <c r="B23" s="41"/>
      <c r="C23" s="41"/>
      <c r="D23" s="42">
        <v>111</v>
      </c>
      <c r="E23" s="155" t="s">
        <v>45</v>
      </c>
      <c r="F23" s="156"/>
      <c r="G23" s="156"/>
      <c r="H23" s="157"/>
      <c r="I23" s="71">
        <f>SUM(J23:U23)</f>
        <v>38088</v>
      </c>
      <c r="J23" s="43">
        <v>3174</v>
      </c>
      <c r="K23" s="44">
        <f>3174</f>
        <v>3174</v>
      </c>
      <c r="L23" s="43">
        <f>3174</f>
        <v>3174</v>
      </c>
      <c r="M23" s="43">
        <f>3174</f>
        <v>3174</v>
      </c>
      <c r="N23" s="43">
        <f>4000</f>
        <v>4000</v>
      </c>
      <c r="O23" s="43">
        <f>3500</f>
        <v>3500</v>
      </c>
      <c r="P23" s="43">
        <f>2022</f>
        <v>2022</v>
      </c>
      <c r="Q23" s="43">
        <v>3174</v>
      </c>
      <c r="R23" s="43">
        <v>3174</v>
      </c>
      <c r="S23" s="43">
        <v>3174</v>
      </c>
      <c r="T23" s="43">
        <v>3174</v>
      </c>
      <c r="U23" s="43">
        <v>3174</v>
      </c>
    </row>
    <row r="24" spans="1:22">
      <c r="A24" s="41"/>
      <c r="B24" s="41"/>
      <c r="C24" s="41"/>
      <c r="D24" s="42">
        <v>113</v>
      </c>
      <c r="E24" s="158" t="s">
        <v>46</v>
      </c>
      <c r="F24" s="159"/>
      <c r="G24" s="159"/>
      <c r="H24" s="160"/>
      <c r="I24" s="71">
        <f>SUM(J24:U24)</f>
        <v>2620</v>
      </c>
      <c r="J24" s="45"/>
      <c r="K24" s="46"/>
      <c r="L24" s="46"/>
      <c r="M24" s="45"/>
      <c r="N24" s="46">
        <v>863</v>
      </c>
      <c r="O24" s="46">
        <v>800</v>
      </c>
      <c r="P24" s="46">
        <v>837</v>
      </c>
      <c r="Q24" s="46">
        <v>120</v>
      </c>
      <c r="R24" s="46"/>
      <c r="S24" s="46"/>
      <c r="T24" s="46"/>
      <c r="U24" s="46"/>
    </row>
    <row r="25" spans="1:22">
      <c r="A25" s="42"/>
      <c r="B25" s="42"/>
      <c r="C25" s="42"/>
      <c r="D25" s="42">
        <v>121</v>
      </c>
      <c r="E25" s="158" t="s">
        <v>47</v>
      </c>
      <c r="F25" s="159"/>
      <c r="G25" s="159"/>
      <c r="H25" s="160"/>
      <c r="I25" s="61">
        <f>SUM(J25:U25)</f>
        <v>2063</v>
      </c>
      <c r="J25" s="45">
        <v>172</v>
      </c>
      <c r="K25" s="46">
        <f>172</f>
        <v>172</v>
      </c>
      <c r="L25" s="45">
        <f>172</f>
        <v>172</v>
      </c>
      <c r="M25" s="45">
        <v>172</v>
      </c>
      <c r="N25" s="45">
        <v>216</v>
      </c>
      <c r="O25" s="45">
        <v>189</v>
      </c>
      <c r="P25" s="45">
        <v>110</v>
      </c>
      <c r="Q25" s="45">
        <v>172</v>
      </c>
      <c r="R25" s="45">
        <v>172</v>
      </c>
      <c r="S25" s="45">
        <v>172</v>
      </c>
      <c r="T25" s="45">
        <v>172</v>
      </c>
      <c r="U25" s="45">
        <v>172</v>
      </c>
    </row>
    <row r="26" spans="1:22">
      <c r="A26" s="47"/>
      <c r="B26" s="47"/>
      <c r="C26" s="47"/>
      <c r="D26" s="47">
        <v>122</v>
      </c>
      <c r="E26" s="161" t="s">
        <v>48</v>
      </c>
      <c r="F26" s="162"/>
      <c r="G26" s="162"/>
      <c r="H26" s="163"/>
      <c r="I26" s="61"/>
      <c r="J26" s="48"/>
      <c r="K26" s="50"/>
      <c r="L26" s="50"/>
      <c r="M26" s="49"/>
      <c r="N26" s="50"/>
      <c r="O26" s="50"/>
      <c r="P26" s="50"/>
      <c r="Q26" s="50"/>
      <c r="R26" s="50"/>
      <c r="S26" s="50"/>
      <c r="T26" s="50"/>
      <c r="U26" s="50"/>
    </row>
    <row r="27" spans="1:22">
      <c r="A27" s="51"/>
      <c r="B27" s="51"/>
      <c r="C27" s="51"/>
      <c r="D27" s="51"/>
      <c r="E27" s="144" t="s">
        <v>49</v>
      </c>
      <c r="F27" s="145"/>
      <c r="G27" s="145"/>
      <c r="H27" s="146"/>
      <c r="I27" s="75">
        <f>SUM(J27:U27)</f>
        <v>1201</v>
      </c>
      <c r="J27" s="45">
        <v>100</v>
      </c>
      <c r="K27" s="46">
        <f>100</f>
        <v>100</v>
      </c>
      <c r="L27" s="45">
        <f>100</f>
        <v>100</v>
      </c>
      <c r="M27" s="45">
        <v>100</v>
      </c>
      <c r="N27" s="45">
        <v>126</v>
      </c>
      <c r="O27" s="45">
        <v>111</v>
      </c>
      <c r="P27" s="45">
        <v>64</v>
      </c>
      <c r="Q27" s="45">
        <v>100</v>
      </c>
      <c r="R27" s="45">
        <v>100</v>
      </c>
      <c r="S27" s="45">
        <v>100</v>
      </c>
      <c r="T27" s="45">
        <v>100</v>
      </c>
      <c r="U27" s="45">
        <v>100</v>
      </c>
    </row>
    <row r="28" spans="1:22">
      <c r="A28" s="42"/>
      <c r="B28" s="42"/>
      <c r="C28" s="42"/>
      <c r="D28" s="42">
        <v>123</v>
      </c>
      <c r="E28" s="161" t="s">
        <v>50</v>
      </c>
      <c r="F28" s="162"/>
      <c r="G28" s="162"/>
      <c r="H28" s="163"/>
      <c r="I28" s="61">
        <f>J28+K28+L28+M28+N28+O28+P28+Q28+R28+S28+T28+U28</f>
        <v>18</v>
      </c>
      <c r="J28" s="45"/>
      <c r="K28" s="46"/>
      <c r="L28" s="46"/>
      <c r="M28" s="45">
        <v>18</v>
      </c>
      <c r="N28" s="46"/>
      <c r="O28" s="46"/>
      <c r="P28" s="46"/>
      <c r="Q28" s="46"/>
      <c r="R28" s="46"/>
      <c r="S28" s="46"/>
      <c r="T28" s="46"/>
      <c r="U28" s="46"/>
    </row>
    <row r="29" spans="1:22">
      <c r="A29" s="51"/>
      <c r="B29" s="51"/>
      <c r="C29" s="51"/>
      <c r="D29" s="51">
        <v>124</v>
      </c>
      <c r="E29" s="147" t="s">
        <v>51</v>
      </c>
      <c r="F29" s="148"/>
      <c r="G29" s="148"/>
      <c r="H29" s="149"/>
      <c r="I29" s="71">
        <f>SUM(J29:U29)</f>
        <v>757</v>
      </c>
      <c r="J29" s="53">
        <v>63</v>
      </c>
      <c r="K29" s="53">
        <f>63</f>
        <v>63</v>
      </c>
      <c r="L29" s="53">
        <f>63</f>
        <v>63</v>
      </c>
      <c r="M29" s="53">
        <v>63</v>
      </c>
      <c r="N29" s="53">
        <v>80</v>
      </c>
      <c r="O29" s="53">
        <v>70</v>
      </c>
      <c r="P29" s="53">
        <v>40</v>
      </c>
      <c r="Q29" s="53">
        <v>63</v>
      </c>
      <c r="R29" s="53">
        <v>63</v>
      </c>
      <c r="S29" s="53">
        <v>63</v>
      </c>
      <c r="T29" s="53">
        <v>63</v>
      </c>
      <c r="U29" s="53">
        <v>63</v>
      </c>
      <c r="V29" s="78">
        <v>0.02</v>
      </c>
    </row>
    <row r="30" spans="1:22">
      <c r="A30" s="42"/>
      <c r="B30" s="42"/>
      <c r="C30" s="42"/>
      <c r="D30" s="42">
        <v>142</v>
      </c>
      <c r="E30" s="54" t="s">
        <v>52</v>
      </c>
      <c r="F30" s="54"/>
      <c r="G30" s="54"/>
      <c r="H30" s="54"/>
      <c r="I30" s="71">
        <f>J30+K30+L30+M30+N30+O30+P30+Q30+R30+S30+T30+U30</f>
        <v>80</v>
      </c>
      <c r="J30" s="45"/>
      <c r="K30" s="46">
        <v>80</v>
      </c>
      <c r="L30" s="46"/>
      <c r="M30" s="45"/>
      <c r="N30" s="46"/>
      <c r="O30" s="46"/>
      <c r="P30" s="46"/>
      <c r="Q30" s="46"/>
      <c r="R30" s="46"/>
      <c r="S30" s="46"/>
      <c r="T30" s="46"/>
      <c r="U30" s="46"/>
    </row>
    <row r="31" spans="1:22" hidden="1">
      <c r="A31" s="41"/>
      <c r="B31" s="41"/>
      <c r="C31" s="41"/>
      <c r="D31" s="41">
        <v>143</v>
      </c>
      <c r="E31" s="164" t="s">
        <v>53</v>
      </c>
      <c r="F31" s="165"/>
      <c r="G31" s="165"/>
      <c r="H31" s="166"/>
      <c r="I31" s="75">
        <f>SUM(J31:U31)</f>
        <v>0</v>
      </c>
      <c r="J31" s="55"/>
      <c r="K31" s="44"/>
      <c r="L31" s="44"/>
      <c r="M31" s="43"/>
      <c r="N31" s="44"/>
      <c r="O31" s="44"/>
      <c r="P31" s="44"/>
      <c r="Q31" s="44"/>
      <c r="R31" s="44"/>
      <c r="S31" s="44"/>
      <c r="T31" s="44"/>
      <c r="U31" s="44"/>
    </row>
    <row r="32" spans="1:22">
      <c r="A32" s="41"/>
      <c r="B32" s="41"/>
      <c r="C32" s="41"/>
      <c r="D32" s="41">
        <v>144</v>
      </c>
      <c r="E32" s="164" t="s">
        <v>54</v>
      </c>
      <c r="F32" s="165"/>
      <c r="G32" s="165"/>
      <c r="H32" s="166"/>
      <c r="I32" s="75">
        <f t="shared" ref="I32:I39" si="1">SUM(J32:U32)</f>
        <v>250</v>
      </c>
      <c r="J32" s="55"/>
      <c r="K32" s="44">
        <v>250</v>
      </c>
      <c r="L32" s="44"/>
      <c r="M32" s="43"/>
      <c r="N32" s="44"/>
      <c r="O32" s="44"/>
      <c r="P32" s="44"/>
      <c r="Q32" s="44"/>
      <c r="R32" s="44"/>
      <c r="S32" s="44"/>
      <c r="T32" s="44"/>
      <c r="U32" s="44"/>
    </row>
    <row r="33" spans="1:21" s="82" customFormat="1">
      <c r="A33" s="80"/>
      <c r="B33" s="80"/>
      <c r="C33" s="80"/>
      <c r="D33" s="80">
        <v>149</v>
      </c>
      <c r="E33" s="81" t="s">
        <v>55</v>
      </c>
      <c r="F33" s="81"/>
      <c r="G33" s="81"/>
      <c r="H33" s="81"/>
      <c r="I33" s="71">
        <f t="shared" si="1"/>
        <v>1914</v>
      </c>
      <c r="J33" s="46"/>
      <c r="K33" s="46">
        <v>200</v>
      </c>
      <c r="L33" s="46">
        <v>614</v>
      </c>
      <c r="M33" s="46">
        <v>300</v>
      </c>
      <c r="N33" s="46">
        <v>500</v>
      </c>
      <c r="O33" s="46">
        <v>300</v>
      </c>
      <c r="P33" s="46"/>
      <c r="Q33" s="46"/>
      <c r="R33" s="46"/>
      <c r="S33" s="46"/>
      <c r="T33" s="46"/>
      <c r="U33" s="46"/>
    </row>
    <row r="34" spans="1:21" s="82" customFormat="1">
      <c r="A34" s="80"/>
      <c r="B34" s="80"/>
      <c r="C34" s="80"/>
      <c r="D34" s="80">
        <v>151</v>
      </c>
      <c r="E34" s="81" t="s">
        <v>56</v>
      </c>
      <c r="F34" s="81"/>
      <c r="G34" s="81"/>
      <c r="H34" s="81"/>
      <c r="I34" s="71">
        <f t="shared" si="1"/>
        <v>3900</v>
      </c>
      <c r="J34" s="46"/>
      <c r="K34" s="46">
        <v>1300</v>
      </c>
      <c r="L34" s="46">
        <v>500</v>
      </c>
      <c r="M34" s="46">
        <v>450</v>
      </c>
      <c r="N34" s="46">
        <f>100+130-30</f>
        <v>200</v>
      </c>
      <c r="O34" s="46">
        <f>100+30-30</f>
        <v>100</v>
      </c>
      <c r="P34" s="46">
        <v>150</v>
      </c>
      <c r="Q34" s="46">
        <v>130</v>
      </c>
      <c r="R34" s="46">
        <v>150</v>
      </c>
      <c r="S34" s="46">
        <v>400</v>
      </c>
      <c r="T34" s="46">
        <v>520</v>
      </c>
      <c r="U34" s="46"/>
    </row>
    <row r="35" spans="1:21" s="82" customFormat="1">
      <c r="A35" s="80"/>
      <c r="B35" s="80"/>
      <c r="C35" s="80"/>
      <c r="D35" s="80">
        <v>152</v>
      </c>
      <c r="E35" s="83" t="s">
        <v>57</v>
      </c>
      <c r="F35" s="81"/>
      <c r="G35" s="81"/>
      <c r="H35" s="84"/>
      <c r="I35" s="71">
        <f t="shared" si="1"/>
        <v>126</v>
      </c>
      <c r="J35" s="46"/>
      <c r="K35" s="46">
        <f>12</f>
        <v>12</v>
      </c>
      <c r="L35" s="46">
        <v>12</v>
      </c>
      <c r="M35" s="46">
        <v>12</v>
      </c>
      <c r="N35" s="46">
        <v>12</v>
      </c>
      <c r="O35" s="46">
        <v>12</v>
      </c>
      <c r="P35" s="46">
        <v>12</v>
      </c>
      <c r="Q35" s="46">
        <v>12</v>
      </c>
      <c r="R35" s="46">
        <v>12</v>
      </c>
      <c r="S35" s="46">
        <v>12</v>
      </c>
      <c r="T35" s="46">
        <v>12</v>
      </c>
      <c r="U35" s="46">
        <v>6</v>
      </c>
    </row>
    <row r="36" spans="1:21" s="82" customFormat="1">
      <c r="A36" s="80"/>
      <c r="B36" s="80"/>
      <c r="C36" s="80"/>
      <c r="D36" s="80">
        <v>159</v>
      </c>
      <c r="E36" s="167" t="s">
        <v>58</v>
      </c>
      <c r="F36" s="168"/>
      <c r="G36" s="168"/>
      <c r="H36" s="169"/>
      <c r="I36" s="71">
        <f t="shared" si="1"/>
        <v>860</v>
      </c>
      <c r="J36" s="46">
        <v>13</v>
      </c>
      <c r="K36" s="46">
        <f>12</f>
        <v>12</v>
      </c>
      <c r="L36" s="46">
        <v>13</v>
      </c>
      <c r="M36" s="46">
        <f>722</f>
        <v>722</v>
      </c>
      <c r="N36" s="46">
        <v>13</v>
      </c>
      <c r="O36" s="46">
        <v>12</v>
      </c>
      <c r="P36" s="46">
        <v>13</v>
      </c>
      <c r="Q36" s="46">
        <v>12</v>
      </c>
      <c r="R36" s="46">
        <v>13</v>
      </c>
      <c r="S36" s="46">
        <v>12</v>
      </c>
      <c r="T36" s="46">
        <v>13</v>
      </c>
      <c r="U36" s="46">
        <v>12</v>
      </c>
    </row>
    <row r="37" spans="1:21">
      <c r="A37" s="42"/>
      <c r="B37" s="42"/>
      <c r="C37" s="42"/>
      <c r="D37" s="42">
        <v>161</v>
      </c>
      <c r="E37" s="56" t="s">
        <v>59</v>
      </c>
      <c r="F37" s="57"/>
      <c r="G37" s="57"/>
      <c r="H37" s="58"/>
      <c r="I37" s="71">
        <f t="shared" si="1"/>
        <v>90</v>
      </c>
      <c r="J37" s="45"/>
      <c r="K37" s="46">
        <v>90</v>
      </c>
      <c r="L37" s="46"/>
      <c r="M37" s="45"/>
      <c r="N37" s="46"/>
      <c r="O37" s="46"/>
      <c r="P37" s="46"/>
      <c r="Q37" s="46"/>
      <c r="R37" s="46"/>
      <c r="S37" s="46"/>
      <c r="T37" s="46"/>
      <c r="U37" s="46"/>
    </row>
    <row r="38" spans="1:21">
      <c r="A38" s="42"/>
      <c r="B38" s="42"/>
      <c r="C38" s="42"/>
      <c r="D38" s="42">
        <v>169</v>
      </c>
      <c r="E38" s="158" t="s">
        <v>60</v>
      </c>
      <c r="F38" s="159"/>
      <c r="G38" s="159"/>
      <c r="H38" s="160"/>
      <c r="I38" s="71">
        <f t="shared" si="1"/>
        <v>95</v>
      </c>
      <c r="J38" s="45"/>
      <c r="K38" s="46">
        <v>10</v>
      </c>
      <c r="L38" s="46"/>
      <c r="M38" s="45">
        <v>15</v>
      </c>
      <c r="N38" s="46"/>
      <c r="O38" s="46">
        <v>20</v>
      </c>
      <c r="P38" s="46"/>
      <c r="Q38" s="46">
        <v>50</v>
      </c>
      <c r="R38" s="46"/>
      <c r="S38" s="46"/>
      <c r="T38" s="46"/>
      <c r="U38" s="46"/>
    </row>
    <row r="39" spans="1:21" hidden="1">
      <c r="A39" s="47"/>
      <c r="B39" s="47"/>
      <c r="C39" s="47"/>
      <c r="D39" s="47">
        <v>418</v>
      </c>
      <c r="E39" s="158" t="s">
        <v>75</v>
      </c>
      <c r="F39" s="159"/>
      <c r="G39" s="159"/>
      <c r="H39" s="160"/>
      <c r="I39" s="71">
        <f t="shared" si="1"/>
        <v>0</v>
      </c>
      <c r="J39" s="49"/>
      <c r="K39" s="49"/>
      <c r="L39" s="50"/>
      <c r="M39" s="49"/>
      <c r="N39" s="50"/>
      <c r="O39" s="50"/>
      <c r="P39" s="50"/>
      <c r="Q39" s="50"/>
      <c r="R39" s="50"/>
      <c r="S39" s="50"/>
      <c r="T39" s="50"/>
      <c r="U39" s="50"/>
    </row>
    <row r="40" spans="1:21" ht="15" thickBot="1">
      <c r="A40" s="47"/>
      <c r="B40" s="47"/>
      <c r="C40" s="47"/>
      <c r="D40" s="59"/>
      <c r="E40" s="170" t="s">
        <v>61</v>
      </c>
      <c r="F40" s="171"/>
      <c r="G40" s="171"/>
      <c r="H40" s="172"/>
      <c r="I40" s="77">
        <f>SUM(J40:U40)</f>
        <v>52062</v>
      </c>
      <c r="J40" s="60">
        <f>SUM(J23:J38)</f>
        <v>3522</v>
      </c>
      <c r="K40" s="60">
        <f>SUM(K23:K39)</f>
        <v>5463</v>
      </c>
      <c r="L40" s="61">
        <f t="shared" ref="L40:U40" si="2">SUM(L23:L38)</f>
        <v>4648</v>
      </c>
      <c r="M40" s="61">
        <f>SUM(M23:M39)</f>
        <v>5026</v>
      </c>
      <c r="N40" s="61">
        <f>SUM(N23:N39)</f>
        <v>6010</v>
      </c>
      <c r="O40" s="60">
        <f t="shared" si="2"/>
        <v>5114</v>
      </c>
      <c r="P40" s="60">
        <f t="shared" si="2"/>
        <v>3248</v>
      </c>
      <c r="Q40" s="60">
        <f t="shared" si="2"/>
        <v>3833</v>
      </c>
      <c r="R40" s="60">
        <f t="shared" si="2"/>
        <v>3684</v>
      </c>
      <c r="S40" s="60">
        <f t="shared" si="2"/>
        <v>3933</v>
      </c>
      <c r="T40" s="60">
        <f t="shared" si="2"/>
        <v>4054</v>
      </c>
      <c r="U40" s="77">
        <f t="shared" si="2"/>
        <v>3527</v>
      </c>
    </row>
    <row r="41" spans="1:21">
      <c r="A41" s="62" t="s">
        <v>40</v>
      </c>
      <c r="B41" s="63" t="s">
        <v>41</v>
      </c>
      <c r="C41" s="64" t="s">
        <v>62</v>
      </c>
      <c r="D41" s="65"/>
      <c r="E41" s="66" t="s">
        <v>43</v>
      </c>
      <c r="F41" s="66"/>
      <c r="G41" s="66"/>
      <c r="H41" s="67"/>
      <c r="I41" s="153">
        <f>SUM(J41:U42)</f>
        <v>3500</v>
      </c>
      <c r="J41" s="151">
        <f>SUM(J43:J48)</f>
        <v>0</v>
      </c>
      <c r="K41" s="151">
        <f t="shared" ref="K41:U41" si="3">SUM(K43:K48)</f>
        <v>0</v>
      </c>
      <c r="L41" s="151">
        <f t="shared" si="3"/>
        <v>0</v>
      </c>
      <c r="M41" s="151">
        <f t="shared" si="3"/>
        <v>0</v>
      </c>
      <c r="N41" s="153">
        <f t="shared" si="3"/>
        <v>0</v>
      </c>
      <c r="O41" s="151">
        <f t="shared" si="3"/>
        <v>0</v>
      </c>
      <c r="P41" s="151">
        <f t="shared" si="3"/>
        <v>0</v>
      </c>
      <c r="Q41" s="151">
        <f t="shared" si="3"/>
        <v>0</v>
      </c>
      <c r="R41" s="151">
        <f t="shared" si="3"/>
        <v>875</v>
      </c>
      <c r="S41" s="151">
        <f t="shared" si="3"/>
        <v>875</v>
      </c>
      <c r="T41" s="151">
        <f t="shared" si="3"/>
        <v>875</v>
      </c>
      <c r="U41" s="153">
        <f t="shared" si="3"/>
        <v>875</v>
      </c>
    </row>
    <row r="42" spans="1:21" ht="15" thickBot="1">
      <c r="A42" s="35"/>
      <c r="B42" s="36"/>
      <c r="C42" s="37"/>
      <c r="D42" s="38"/>
      <c r="E42" s="39" t="s">
        <v>44</v>
      </c>
      <c r="F42" s="39"/>
      <c r="G42" s="39"/>
      <c r="H42" s="40"/>
      <c r="I42" s="154"/>
      <c r="J42" s="152"/>
      <c r="K42" s="152"/>
      <c r="L42" s="152"/>
      <c r="M42" s="152"/>
      <c r="N42" s="154"/>
      <c r="O42" s="152"/>
      <c r="P42" s="152"/>
      <c r="Q42" s="152"/>
      <c r="R42" s="152"/>
      <c r="S42" s="152"/>
      <c r="T42" s="152"/>
      <c r="U42" s="154"/>
    </row>
    <row r="43" spans="1:21">
      <c r="A43" s="41"/>
      <c r="B43" s="41"/>
      <c r="C43" s="41"/>
      <c r="D43" s="42">
        <v>111</v>
      </c>
      <c r="E43" s="155" t="s">
        <v>45</v>
      </c>
      <c r="F43" s="156"/>
      <c r="G43" s="156"/>
      <c r="H43" s="157"/>
      <c r="I43" s="68">
        <f>SUM(J43:U43)</f>
        <v>3176</v>
      </c>
      <c r="J43" s="43"/>
      <c r="K43" s="43"/>
      <c r="L43" s="43"/>
      <c r="M43" s="43"/>
      <c r="N43" s="44"/>
      <c r="O43" s="43"/>
      <c r="P43" s="43"/>
      <c r="Q43" s="43"/>
      <c r="R43" s="43">
        <v>794</v>
      </c>
      <c r="S43" s="43">
        <v>794</v>
      </c>
      <c r="T43" s="43">
        <v>794</v>
      </c>
      <c r="U43" s="43">
        <v>794</v>
      </c>
    </row>
    <row r="44" spans="1:21" hidden="1">
      <c r="A44" s="41"/>
      <c r="B44" s="41"/>
      <c r="C44" s="41"/>
      <c r="D44" s="42">
        <v>113</v>
      </c>
      <c r="E44" s="158" t="s">
        <v>46</v>
      </c>
      <c r="F44" s="159"/>
      <c r="G44" s="159"/>
      <c r="H44" s="160"/>
      <c r="I44" s="68">
        <f>SUM(J44:U44)</f>
        <v>0</v>
      </c>
      <c r="J44" s="45"/>
      <c r="K44" s="45"/>
      <c r="L44" s="46"/>
      <c r="M44" s="46"/>
      <c r="N44" s="46"/>
      <c r="O44" s="45"/>
      <c r="P44" s="46"/>
      <c r="Q44" s="46"/>
      <c r="R44" s="46"/>
      <c r="S44" s="46"/>
      <c r="T44" s="46"/>
      <c r="U44" s="46"/>
    </row>
    <row r="45" spans="1:21">
      <c r="A45" s="42"/>
      <c r="B45" s="42"/>
      <c r="C45" s="42"/>
      <c r="D45" s="42">
        <v>121</v>
      </c>
      <c r="E45" s="158" t="s">
        <v>47</v>
      </c>
      <c r="F45" s="159"/>
      <c r="G45" s="159"/>
      <c r="H45" s="160"/>
      <c r="I45" s="60">
        <f>SUM(J45:U45)</f>
        <v>172</v>
      </c>
      <c r="J45" s="45"/>
      <c r="K45" s="45"/>
      <c r="L45" s="45"/>
      <c r="M45" s="45"/>
      <c r="N45" s="46"/>
      <c r="O45" s="45"/>
      <c r="P45" s="45"/>
      <c r="Q45" s="45"/>
      <c r="R45" s="45">
        <v>43</v>
      </c>
      <c r="S45" s="45">
        <v>43</v>
      </c>
      <c r="T45" s="45">
        <v>43</v>
      </c>
      <c r="U45" s="45">
        <v>43</v>
      </c>
    </row>
    <row r="46" spans="1:21">
      <c r="A46" s="47"/>
      <c r="B46" s="47"/>
      <c r="C46" s="47"/>
      <c r="D46" s="47">
        <v>122</v>
      </c>
      <c r="E46" s="161" t="s">
        <v>48</v>
      </c>
      <c r="F46" s="162"/>
      <c r="G46" s="162"/>
      <c r="H46" s="163"/>
      <c r="I46" s="68"/>
      <c r="J46" s="48"/>
      <c r="K46" s="49"/>
      <c r="L46" s="50"/>
      <c r="M46" s="50"/>
      <c r="N46" s="50"/>
      <c r="O46" s="49"/>
      <c r="P46" s="50"/>
      <c r="Q46" s="50"/>
      <c r="R46" s="50"/>
      <c r="S46" s="50"/>
      <c r="T46" s="50"/>
      <c r="U46" s="50"/>
    </row>
    <row r="47" spans="1:21">
      <c r="A47" s="51"/>
      <c r="B47" s="51"/>
      <c r="C47" s="51"/>
      <c r="D47" s="51"/>
      <c r="E47" s="144" t="s">
        <v>49</v>
      </c>
      <c r="F47" s="145"/>
      <c r="G47" s="145"/>
      <c r="H47" s="146"/>
      <c r="I47" s="69">
        <f>SUM(J47:U47)</f>
        <v>104</v>
      </c>
      <c r="J47" s="45"/>
      <c r="K47" s="45"/>
      <c r="L47" s="45"/>
      <c r="M47" s="45"/>
      <c r="N47" s="46"/>
      <c r="O47" s="45"/>
      <c r="P47" s="45"/>
      <c r="Q47" s="45"/>
      <c r="R47" s="45">
        <v>26</v>
      </c>
      <c r="S47" s="45">
        <v>26</v>
      </c>
      <c r="T47" s="45">
        <v>26</v>
      </c>
      <c r="U47" s="45">
        <v>26</v>
      </c>
    </row>
    <row r="48" spans="1:21">
      <c r="A48" s="42"/>
      <c r="B48" s="42"/>
      <c r="C48" s="42"/>
      <c r="D48" s="42">
        <v>124</v>
      </c>
      <c r="E48" s="147" t="s">
        <v>51</v>
      </c>
      <c r="F48" s="148"/>
      <c r="G48" s="148"/>
      <c r="H48" s="149"/>
      <c r="I48" s="60">
        <f>SUM(J48:U48)</f>
        <v>48</v>
      </c>
      <c r="J48" s="52"/>
      <c r="K48" s="52"/>
      <c r="L48" s="52"/>
      <c r="M48" s="52"/>
      <c r="N48" s="53"/>
      <c r="O48" s="52"/>
      <c r="P48" s="52"/>
      <c r="Q48" s="52"/>
      <c r="R48" s="52">
        <v>12</v>
      </c>
      <c r="S48" s="52">
        <v>12</v>
      </c>
      <c r="T48" s="52">
        <v>12</v>
      </c>
      <c r="U48" s="52">
        <v>12</v>
      </c>
    </row>
    <row r="49" spans="1:22" ht="15" thickBot="1">
      <c r="A49" s="42"/>
      <c r="B49" s="42"/>
      <c r="C49" s="42"/>
      <c r="D49" s="70"/>
      <c r="E49" s="150" t="s">
        <v>63</v>
      </c>
      <c r="F49" s="150"/>
      <c r="G49" s="150"/>
      <c r="H49" s="150"/>
      <c r="I49" s="71">
        <f>SUM(I43:I48)</f>
        <v>3500</v>
      </c>
      <c r="J49" s="68">
        <f t="shared" ref="J49:U49" si="4">SUM(J43:J48)</f>
        <v>0</v>
      </c>
      <c r="K49" s="68">
        <f t="shared" si="4"/>
        <v>0</v>
      </c>
      <c r="L49" s="68">
        <f t="shared" si="4"/>
        <v>0</v>
      </c>
      <c r="M49" s="68">
        <f t="shared" si="4"/>
        <v>0</v>
      </c>
      <c r="N49" s="71">
        <f t="shared" si="4"/>
        <v>0</v>
      </c>
      <c r="O49" s="68">
        <f t="shared" si="4"/>
        <v>0</v>
      </c>
      <c r="P49" s="68">
        <f t="shared" si="4"/>
        <v>0</v>
      </c>
      <c r="Q49" s="68">
        <f t="shared" si="4"/>
        <v>0</v>
      </c>
      <c r="R49" s="68">
        <f t="shared" si="4"/>
        <v>875</v>
      </c>
      <c r="S49" s="71">
        <f t="shared" si="4"/>
        <v>875</v>
      </c>
      <c r="T49" s="68">
        <f t="shared" si="4"/>
        <v>875</v>
      </c>
      <c r="U49" s="71">
        <f t="shared" si="4"/>
        <v>875</v>
      </c>
    </row>
    <row r="50" spans="1:22">
      <c r="A50" s="62" t="s">
        <v>40</v>
      </c>
      <c r="B50" s="63" t="s">
        <v>41</v>
      </c>
      <c r="C50" s="64" t="s">
        <v>76</v>
      </c>
      <c r="D50" s="65"/>
      <c r="E50" s="66" t="s">
        <v>43</v>
      </c>
      <c r="F50" s="66"/>
      <c r="G50" s="66"/>
      <c r="H50" s="67"/>
      <c r="I50" s="153">
        <f>SUM(J50:U51)</f>
        <v>1090</v>
      </c>
      <c r="J50" s="151">
        <f t="shared" ref="J50:U50" si="5">SUM(J52:J56)</f>
        <v>0</v>
      </c>
      <c r="K50" s="151">
        <f t="shared" si="5"/>
        <v>0</v>
      </c>
      <c r="L50" s="151">
        <f t="shared" si="5"/>
        <v>0</v>
      </c>
      <c r="M50" s="151">
        <f t="shared" si="5"/>
        <v>0</v>
      </c>
      <c r="N50" s="153">
        <f t="shared" si="5"/>
        <v>0</v>
      </c>
      <c r="O50" s="151">
        <f t="shared" si="5"/>
        <v>0</v>
      </c>
      <c r="P50" s="151">
        <f t="shared" si="5"/>
        <v>0</v>
      </c>
      <c r="Q50" s="151">
        <f t="shared" si="5"/>
        <v>0</v>
      </c>
      <c r="R50" s="151">
        <f t="shared" si="5"/>
        <v>345</v>
      </c>
      <c r="S50" s="151">
        <f t="shared" si="5"/>
        <v>745</v>
      </c>
      <c r="T50" s="151">
        <f t="shared" si="5"/>
        <v>0</v>
      </c>
      <c r="U50" s="153">
        <f t="shared" si="5"/>
        <v>0</v>
      </c>
    </row>
    <row r="51" spans="1:22" ht="15" thickBot="1">
      <c r="A51" s="35"/>
      <c r="B51" s="36"/>
      <c r="C51" s="37"/>
      <c r="D51" s="38"/>
      <c r="E51" s="39" t="s">
        <v>44</v>
      </c>
      <c r="F51" s="39"/>
      <c r="G51" s="39"/>
      <c r="H51" s="40"/>
      <c r="I51" s="154"/>
      <c r="J51" s="152"/>
      <c r="K51" s="152"/>
      <c r="L51" s="152"/>
      <c r="M51" s="152"/>
      <c r="N51" s="154"/>
      <c r="O51" s="152"/>
      <c r="P51" s="152"/>
      <c r="Q51" s="152"/>
      <c r="R51" s="152"/>
      <c r="S51" s="152"/>
      <c r="T51" s="152"/>
      <c r="U51" s="154"/>
    </row>
    <row r="52" spans="1:22">
      <c r="A52" s="41"/>
      <c r="B52" s="41"/>
      <c r="C52" s="41"/>
      <c r="D52" s="42">
        <v>111</v>
      </c>
      <c r="E52" s="155" t="s">
        <v>45</v>
      </c>
      <c r="F52" s="156"/>
      <c r="G52" s="156"/>
      <c r="H52" s="157"/>
      <c r="I52" s="68">
        <f>SUM(J52:U52)</f>
        <v>1000</v>
      </c>
      <c r="J52" s="43"/>
      <c r="K52" s="43"/>
      <c r="L52" s="43"/>
      <c r="M52" s="43"/>
      <c r="N52" s="44"/>
      <c r="O52" s="43"/>
      <c r="P52" s="43"/>
      <c r="Q52" s="43"/>
      <c r="R52" s="44">
        <v>300</v>
      </c>
      <c r="S52" s="43">
        <v>700</v>
      </c>
      <c r="T52" s="43"/>
      <c r="U52" s="43"/>
    </row>
    <row r="53" spans="1:22" hidden="1">
      <c r="A53" s="41"/>
      <c r="B53" s="41"/>
      <c r="C53" s="41"/>
      <c r="D53" s="42">
        <v>113</v>
      </c>
      <c r="E53" s="158" t="s">
        <v>46</v>
      </c>
      <c r="F53" s="159"/>
      <c r="G53" s="159"/>
      <c r="H53" s="160"/>
      <c r="I53" s="68">
        <f>SUM(J53:U53)</f>
        <v>0</v>
      </c>
      <c r="J53" s="45"/>
      <c r="K53" s="45"/>
      <c r="L53" s="46"/>
      <c r="M53" s="46"/>
      <c r="N53" s="46"/>
      <c r="O53" s="45"/>
      <c r="P53" s="46"/>
      <c r="Q53" s="46"/>
      <c r="R53" s="46"/>
      <c r="S53" s="45"/>
      <c r="T53" s="46"/>
      <c r="U53" s="46"/>
    </row>
    <row r="54" spans="1:22">
      <c r="A54" s="42"/>
      <c r="B54" s="42"/>
      <c r="C54" s="42"/>
      <c r="D54" s="42">
        <v>121</v>
      </c>
      <c r="E54" s="158" t="s">
        <v>47</v>
      </c>
      <c r="F54" s="159"/>
      <c r="G54" s="159"/>
      <c r="H54" s="160"/>
      <c r="I54" s="79">
        <f>SUM(J54:U54)</f>
        <v>54</v>
      </c>
      <c r="J54" s="45"/>
      <c r="K54" s="45"/>
      <c r="L54" s="45"/>
      <c r="M54" s="45"/>
      <c r="N54" s="46"/>
      <c r="O54" s="46"/>
      <c r="P54" s="45"/>
      <c r="Q54" s="45"/>
      <c r="R54" s="46">
        <v>27</v>
      </c>
      <c r="S54" s="46">
        <v>27</v>
      </c>
      <c r="T54" s="45"/>
      <c r="U54" s="45"/>
    </row>
    <row r="55" spans="1:22">
      <c r="A55" s="47"/>
      <c r="B55" s="47"/>
      <c r="C55" s="47"/>
      <c r="D55" s="47">
        <v>122</v>
      </c>
      <c r="E55" s="161" t="s">
        <v>48</v>
      </c>
      <c r="F55" s="162"/>
      <c r="G55" s="162"/>
      <c r="H55" s="163"/>
      <c r="I55" s="68"/>
      <c r="J55" s="48"/>
      <c r="K55" s="49"/>
      <c r="L55" s="50"/>
      <c r="M55" s="50"/>
      <c r="N55" s="50"/>
      <c r="O55" s="50"/>
      <c r="P55" s="50"/>
      <c r="Q55" s="50"/>
      <c r="R55" s="50"/>
      <c r="S55" s="50"/>
      <c r="T55" s="50"/>
      <c r="U55" s="50"/>
    </row>
    <row r="56" spans="1:22">
      <c r="A56" s="51"/>
      <c r="B56" s="51"/>
      <c r="C56" s="51"/>
      <c r="D56" s="51"/>
      <c r="E56" s="144" t="s">
        <v>49</v>
      </c>
      <c r="F56" s="145"/>
      <c r="G56" s="145"/>
      <c r="H56" s="146"/>
      <c r="I56" s="69">
        <f>SUM(J56:U56)</f>
        <v>36</v>
      </c>
      <c r="J56" s="45"/>
      <c r="K56" s="45"/>
      <c r="L56" s="45"/>
      <c r="M56" s="45"/>
      <c r="N56" s="46"/>
      <c r="O56" s="46"/>
      <c r="P56" s="45"/>
      <c r="Q56" s="45"/>
      <c r="R56" s="46">
        <v>18</v>
      </c>
      <c r="S56" s="46">
        <v>18</v>
      </c>
      <c r="T56" s="45"/>
      <c r="U56" s="45"/>
    </row>
    <row r="57" spans="1:22">
      <c r="A57" s="42"/>
      <c r="B57" s="42"/>
      <c r="C57" s="42"/>
      <c r="D57" s="42">
        <v>124</v>
      </c>
      <c r="E57" s="147" t="s">
        <v>51</v>
      </c>
      <c r="F57" s="148"/>
      <c r="G57" s="148"/>
      <c r="H57" s="149"/>
      <c r="I57" s="79">
        <f>SUM(J57:U57)</f>
        <v>16</v>
      </c>
      <c r="J57" s="52"/>
      <c r="K57" s="52"/>
      <c r="L57" s="52"/>
      <c r="M57" s="52"/>
      <c r="N57" s="53"/>
      <c r="O57" s="53"/>
      <c r="P57" s="52"/>
      <c r="Q57" s="52"/>
      <c r="R57" s="53">
        <v>8</v>
      </c>
      <c r="S57" s="53">
        <v>8</v>
      </c>
      <c r="T57" s="52"/>
      <c r="U57" s="52"/>
    </row>
    <row r="58" spans="1:22">
      <c r="A58" s="42"/>
      <c r="B58" s="42"/>
      <c r="C58" s="42"/>
      <c r="D58" s="70"/>
      <c r="E58" s="150" t="s">
        <v>63</v>
      </c>
      <c r="F58" s="150"/>
      <c r="G58" s="150"/>
      <c r="H58" s="150"/>
      <c r="I58" s="71">
        <f>SUM(I52:I57)</f>
        <v>1106</v>
      </c>
      <c r="J58" s="68">
        <f t="shared" ref="J58:U58" si="6">SUM(J52:J57)</f>
        <v>0</v>
      </c>
      <c r="K58" s="68">
        <f t="shared" si="6"/>
        <v>0</v>
      </c>
      <c r="L58" s="68">
        <f t="shared" si="6"/>
        <v>0</v>
      </c>
      <c r="M58" s="68">
        <f t="shared" si="6"/>
        <v>0</v>
      </c>
      <c r="N58" s="71">
        <f t="shared" si="6"/>
        <v>0</v>
      </c>
      <c r="O58" s="68">
        <f t="shared" si="6"/>
        <v>0</v>
      </c>
      <c r="P58" s="68">
        <f t="shared" si="6"/>
        <v>0</v>
      </c>
      <c r="Q58" s="68">
        <f t="shared" si="6"/>
        <v>0</v>
      </c>
      <c r="R58" s="68">
        <f t="shared" si="6"/>
        <v>353</v>
      </c>
      <c r="S58" s="71">
        <f t="shared" si="6"/>
        <v>753</v>
      </c>
      <c r="T58" s="68">
        <f t="shared" si="6"/>
        <v>0</v>
      </c>
      <c r="U58" s="71">
        <f t="shared" si="6"/>
        <v>0</v>
      </c>
    </row>
    <row r="59" spans="1:22">
      <c r="A59" s="42"/>
      <c r="B59" s="42"/>
      <c r="C59" s="42"/>
      <c r="D59" s="70"/>
      <c r="E59" s="150" t="s">
        <v>64</v>
      </c>
      <c r="F59" s="150"/>
      <c r="G59" s="150"/>
      <c r="H59" s="150"/>
      <c r="I59" s="68">
        <f>I40+I49+I58</f>
        <v>56668</v>
      </c>
      <c r="J59" s="68">
        <f t="shared" ref="J59:V59" si="7">J40+J49+J58</f>
        <v>3522</v>
      </c>
      <c r="K59" s="68">
        <f t="shared" si="7"/>
        <v>5463</v>
      </c>
      <c r="L59" s="68">
        <f t="shared" si="7"/>
        <v>4648</v>
      </c>
      <c r="M59" s="68">
        <f t="shared" si="7"/>
        <v>5026</v>
      </c>
      <c r="N59" s="68">
        <f t="shared" si="7"/>
        <v>6010</v>
      </c>
      <c r="O59" s="68">
        <f t="shared" si="7"/>
        <v>5114</v>
      </c>
      <c r="P59" s="68">
        <f t="shared" si="7"/>
        <v>3248</v>
      </c>
      <c r="Q59" s="68">
        <f t="shared" si="7"/>
        <v>3833</v>
      </c>
      <c r="R59" s="68">
        <f t="shared" si="7"/>
        <v>4912</v>
      </c>
      <c r="S59" s="68">
        <f t="shared" si="7"/>
        <v>5561</v>
      </c>
      <c r="T59" s="68">
        <f t="shared" si="7"/>
        <v>4929</v>
      </c>
      <c r="U59" s="68">
        <f t="shared" si="7"/>
        <v>4402</v>
      </c>
      <c r="V59" s="68">
        <f t="shared" si="7"/>
        <v>0</v>
      </c>
    </row>
    <row r="60" spans="1:22">
      <c r="A60" s="33"/>
      <c r="B60" s="33"/>
      <c r="C60" s="33"/>
      <c r="D60" s="72"/>
      <c r="E60" s="73"/>
      <c r="F60" s="73"/>
      <c r="G60" s="73"/>
      <c r="H60" s="73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6"/>
    </row>
    <row r="61" spans="1:22">
      <c r="A61" s="3" t="s">
        <v>65</v>
      </c>
      <c r="B61" s="3"/>
      <c r="C61" s="3"/>
      <c r="D61" s="3"/>
      <c r="E61" s="3"/>
      <c r="F61" s="3"/>
      <c r="G61" s="3"/>
      <c r="H61" s="3"/>
      <c r="I61" s="3"/>
      <c r="J61" s="27"/>
      <c r="K61" s="27"/>
      <c r="L61" s="27"/>
      <c r="M61" s="3"/>
      <c r="N61" s="27" t="s">
        <v>66</v>
      </c>
      <c r="O61" s="27"/>
      <c r="P61" s="27"/>
      <c r="Q61" s="25"/>
      <c r="R61" s="3"/>
      <c r="S61" s="3"/>
      <c r="T61" s="3"/>
      <c r="U61" s="3"/>
    </row>
    <row r="62" spans="1:22">
      <c r="A62" s="3" t="s">
        <v>67</v>
      </c>
      <c r="B62" s="3"/>
      <c r="C62" s="3"/>
      <c r="D62" s="3"/>
      <c r="E62" s="3"/>
      <c r="F62" s="3"/>
      <c r="G62" s="3"/>
      <c r="H62" s="3"/>
      <c r="I62" s="3"/>
      <c r="J62" s="25" t="s">
        <v>68</v>
      </c>
      <c r="K62" s="25"/>
      <c r="L62" s="25"/>
      <c r="M62" s="3"/>
      <c r="N62" s="25" t="s">
        <v>69</v>
      </c>
      <c r="O62" s="25"/>
      <c r="P62" s="25"/>
      <c r="Q62" s="25"/>
      <c r="R62" s="25"/>
      <c r="S62" s="3"/>
      <c r="T62" s="3"/>
      <c r="U62" s="3"/>
    </row>
    <row r="63" spans="1:22">
      <c r="A63" s="3" t="s">
        <v>70</v>
      </c>
      <c r="B63" s="3"/>
      <c r="C63" s="3"/>
      <c r="D63" s="3"/>
      <c r="E63" s="3"/>
      <c r="F63" s="3"/>
      <c r="G63" s="3"/>
      <c r="H63" s="3"/>
      <c r="I63" s="3"/>
      <c r="J63" s="27"/>
      <c r="K63" s="27"/>
      <c r="L63" s="27"/>
      <c r="M63" s="3"/>
      <c r="N63" s="27" t="s">
        <v>71</v>
      </c>
      <c r="O63" s="27"/>
      <c r="P63" s="27"/>
      <c r="Q63" s="25"/>
      <c r="R63" s="3"/>
      <c r="S63" s="3"/>
      <c r="T63" s="3"/>
      <c r="U63" s="3"/>
    </row>
    <row r="64" spans="1:22">
      <c r="A64" s="3" t="s">
        <v>72</v>
      </c>
      <c r="B64" s="3"/>
      <c r="C64" s="3"/>
      <c r="D64" s="3"/>
      <c r="E64" s="3"/>
      <c r="F64" s="3"/>
      <c r="G64" s="3"/>
      <c r="H64" s="3"/>
      <c r="I64" s="3"/>
      <c r="J64" s="25" t="s">
        <v>68</v>
      </c>
      <c r="K64" s="25"/>
      <c r="L64" s="25"/>
      <c r="M64" s="3"/>
      <c r="N64" s="25" t="s">
        <v>69</v>
      </c>
      <c r="O64" s="25"/>
      <c r="P64" s="25"/>
      <c r="Q64" s="25"/>
      <c r="R64" s="3"/>
      <c r="S64" s="3"/>
      <c r="T64" s="3"/>
      <c r="U64" s="3"/>
    </row>
    <row r="65" spans="1:2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2"/>
      <c r="M65" s="2"/>
      <c r="N65" s="2"/>
      <c r="O65" s="2"/>
      <c r="P65" s="2"/>
      <c r="Q65" s="2"/>
      <c r="R65" s="2"/>
      <c r="S65" s="2" t="s">
        <v>0</v>
      </c>
      <c r="T65" s="2"/>
      <c r="U65" s="2"/>
    </row>
    <row r="66" spans="1:2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205" t="s">
        <v>1</v>
      </c>
      <c r="M66" s="205"/>
      <c r="N66" s="205"/>
      <c r="O66" s="205"/>
      <c r="P66" s="205"/>
      <c r="Q66" s="205"/>
      <c r="R66" s="205"/>
      <c r="S66" s="205"/>
      <c r="T66" s="205"/>
      <c r="U66" s="205"/>
    </row>
    <row r="67" spans="1:21">
      <c r="A67" s="3"/>
      <c r="B67" s="3"/>
      <c r="C67" s="3"/>
      <c r="D67" s="3"/>
      <c r="E67" s="3"/>
      <c r="F67" s="3"/>
      <c r="K67" s="3"/>
      <c r="L67" s="4"/>
      <c r="M67" s="4"/>
      <c r="N67" s="4"/>
      <c r="O67" s="4"/>
      <c r="P67" s="4"/>
      <c r="Q67" s="4"/>
      <c r="R67" s="4"/>
      <c r="S67" s="208" t="s">
        <v>2</v>
      </c>
      <c r="T67" s="208"/>
      <c r="U67" s="208"/>
    </row>
    <row r="68" spans="1:2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205" t="s">
        <v>3</v>
      </c>
      <c r="M68" s="205"/>
      <c r="N68" s="205"/>
      <c r="O68" s="205"/>
      <c r="P68" s="205"/>
      <c r="Q68" s="205"/>
      <c r="R68" s="205"/>
      <c r="S68" s="205"/>
      <c r="T68" s="205"/>
      <c r="U68" s="205"/>
    </row>
    <row r="69" spans="1:2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205" t="s">
        <v>4</v>
      </c>
      <c r="M69" s="205"/>
      <c r="N69" s="205"/>
      <c r="O69" s="205"/>
      <c r="P69" s="205"/>
      <c r="Q69" s="205"/>
      <c r="R69" s="205"/>
      <c r="S69" s="205"/>
      <c r="T69" s="205"/>
      <c r="U69" s="205"/>
    </row>
    <row r="70" spans="1:2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205" t="s">
        <v>5</v>
      </c>
      <c r="M70" s="205"/>
      <c r="N70" s="205"/>
      <c r="O70" s="205"/>
      <c r="P70" s="205"/>
      <c r="Q70" s="205"/>
      <c r="R70" s="205"/>
      <c r="S70" s="205"/>
      <c r="T70" s="205"/>
      <c r="U70" s="205"/>
    </row>
    <row r="71" spans="1:2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205" t="s">
        <v>6</v>
      </c>
      <c r="M71" s="205"/>
      <c r="N71" s="205"/>
      <c r="O71" s="205"/>
      <c r="P71" s="205"/>
      <c r="Q71" s="205"/>
      <c r="R71" s="205"/>
      <c r="S71" s="205"/>
      <c r="T71" s="205"/>
      <c r="U71" s="205"/>
    </row>
    <row r="72" spans="1:2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5"/>
      <c r="M72" s="5"/>
      <c r="N72" s="5"/>
      <c r="O72" s="5"/>
      <c r="P72" s="206"/>
      <c r="Q72" s="206"/>
      <c r="R72" s="206"/>
      <c r="S72" s="207" t="s">
        <v>7</v>
      </c>
      <c r="T72" s="207"/>
      <c r="U72" s="207"/>
    </row>
    <row r="73" spans="1:2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5"/>
      <c r="M73" s="5"/>
      <c r="N73" s="5"/>
      <c r="O73" s="5"/>
      <c r="P73" s="177" t="s">
        <v>8</v>
      </c>
      <c r="Q73" s="177"/>
      <c r="R73" s="177"/>
      <c r="S73" s="178" t="s">
        <v>9</v>
      </c>
      <c r="T73" s="178"/>
      <c r="U73" s="5"/>
    </row>
    <row r="74" spans="1:2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5"/>
      <c r="M74" s="5"/>
      <c r="N74" s="5"/>
      <c r="O74" s="5"/>
      <c r="P74" s="179" t="s">
        <v>77</v>
      </c>
      <c r="Q74" s="179"/>
      <c r="R74" s="179"/>
      <c r="S74" s="6"/>
      <c r="T74" s="6"/>
      <c r="U74" s="6"/>
    </row>
    <row r="75" spans="1:21">
      <c r="A75" s="7"/>
      <c r="B75" s="8"/>
      <c r="C75" s="8"/>
      <c r="D75" s="8"/>
      <c r="E75" s="8" t="s">
        <v>10</v>
      </c>
      <c r="F75" s="8"/>
      <c r="G75" s="9"/>
      <c r="H75" s="7"/>
      <c r="I75" s="7"/>
      <c r="J75" s="7"/>
      <c r="K75" s="7"/>
      <c r="L75" s="7"/>
      <c r="M75" s="7"/>
      <c r="N75" s="7"/>
      <c r="O75" s="7"/>
      <c r="P75" s="10" t="s">
        <v>11</v>
      </c>
      <c r="Q75" s="10"/>
      <c r="R75" s="10"/>
      <c r="S75" s="7"/>
      <c r="T75" s="7"/>
      <c r="U75" s="7"/>
    </row>
    <row r="76" spans="1:21">
      <c r="A76" s="11" t="s">
        <v>12</v>
      </c>
      <c r="B76" s="11"/>
      <c r="C76" s="11"/>
      <c r="D76" s="12" t="s">
        <v>13</v>
      </c>
      <c r="E76" s="11" t="s">
        <v>14</v>
      </c>
      <c r="F76" s="13"/>
      <c r="G76" s="13"/>
      <c r="H76" s="13"/>
      <c r="I76" s="13"/>
      <c r="J76" s="13"/>
      <c r="K76" s="13"/>
      <c r="L76" s="13"/>
      <c r="M76" s="13"/>
      <c r="N76" s="14"/>
      <c r="O76" s="14"/>
      <c r="P76" s="14"/>
      <c r="Q76" s="13"/>
      <c r="R76" s="13"/>
      <c r="S76" s="13"/>
      <c r="T76" s="13"/>
      <c r="U76" s="13"/>
    </row>
    <row r="77" spans="1:21">
      <c r="A77" s="11" t="s">
        <v>15</v>
      </c>
      <c r="B77" s="15"/>
      <c r="C77" s="15"/>
      <c r="D77" s="15"/>
      <c r="E77" s="16" t="s">
        <v>73</v>
      </c>
      <c r="F77" s="13"/>
      <c r="G77" s="13"/>
      <c r="H77" s="13"/>
      <c r="I77" s="13"/>
      <c r="J77" s="13"/>
      <c r="K77" s="13"/>
      <c r="L77" s="13"/>
      <c r="M77" s="13"/>
      <c r="N77" s="14"/>
      <c r="O77" s="14"/>
      <c r="P77" s="14"/>
      <c r="Q77" s="13"/>
      <c r="R77" s="13"/>
      <c r="S77" s="13"/>
      <c r="T77" s="13"/>
      <c r="U77" s="13"/>
    </row>
    <row r="78" spans="1:21">
      <c r="A78" s="11" t="s">
        <v>16</v>
      </c>
      <c r="B78" s="11"/>
      <c r="C78" s="11"/>
      <c r="D78" s="11"/>
      <c r="E78" s="11" t="s">
        <v>17</v>
      </c>
      <c r="F78" s="17"/>
      <c r="G78" s="17"/>
      <c r="H78" s="17"/>
      <c r="I78" s="17"/>
      <c r="J78" s="17"/>
      <c r="K78" s="13"/>
      <c r="L78" s="13"/>
      <c r="M78" s="13"/>
      <c r="N78" s="14"/>
      <c r="O78" s="14"/>
      <c r="P78" s="14"/>
      <c r="Q78" s="13"/>
      <c r="R78" s="13"/>
      <c r="S78" s="13"/>
      <c r="T78" s="13"/>
      <c r="U78" s="13"/>
    </row>
    <row r="79" spans="1:21">
      <c r="A79" s="11" t="s">
        <v>18</v>
      </c>
      <c r="B79" s="11"/>
      <c r="C79" s="11"/>
      <c r="D79" s="11"/>
      <c r="E79" s="11"/>
      <c r="F79" s="18" t="s">
        <v>19</v>
      </c>
      <c r="G79" s="18"/>
      <c r="H79" s="14"/>
      <c r="I79" s="19"/>
      <c r="J79" s="14"/>
      <c r="K79" s="17"/>
      <c r="L79" s="17"/>
      <c r="M79" s="13"/>
      <c r="N79" s="14"/>
      <c r="O79" s="14"/>
      <c r="P79" s="14"/>
      <c r="Q79" s="20"/>
      <c r="R79" s="13"/>
      <c r="S79" s="13"/>
      <c r="T79" s="13"/>
      <c r="U79" s="13"/>
    </row>
    <row r="80" spans="1:21" ht="15" thickBot="1">
      <c r="A80" s="21" t="s">
        <v>20</v>
      </c>
      <c r="B80" s="21"/>
      <c r="C80" s="21"/>
      <c r="D80" s="21"/>
      <c r="E80" s="21"/>
      <c r="F80" s="22" t="s">
        <v>21</v>
      </c>
      <c r="G80" s="22"/>
      <c r="H80" s="14"/>
      <c r="I80" s="19"/>
      <c r="J80" s="14"/>
      <c r="K80" s="14"/>
      <c r="L80" s="14"/>
      <c r="M80" s="19"/>
      <c r="N80" s="180"/>
      <c r="O80" s="180"/>
      <c r="P80" s="180"/>
      <c r="Q80" s="180"/>
      <c r="R80" s="13"/>
      <c r="S80" s="13"/>
      <c r="T80" s="13"/>
      <c r="U80" s="13"/>
    </row>
    <row r="81" spans="1:22">
      <c r="A81" s="181" t="s">
        <v>22</v>
      </c>
      <c r="B81" s="184" t="s">
        <v>23</v>
      </c>
      <c r="C81" s="184" t="s">
        <v>24</v>
      </c>
      <c r="D81" s="187" t="s">
        <v>25</v>
      </c>
      <c r="E81" s="23"/>
      <c r="F81" s="23"/>
      <c r="G81" s="23"/>
      <c r="H81" s="24"/>
      <c r="I81" s="190" t="s">
        <v>74</v>
      </c>
      <c r="J81" s="193" t="s">
        <v>26</v>
      </c>
      <c r="K81" s="194"/>
      <c r="L81" s="194"/>
      <c r="M81" s="194"/>
      <c r="N81" s="194"/>
      <c r="O81" s="194"/>
      <c r="P81" s="194"/>
      <c r="Q81" s="194"/>
      <c r="R81" s="194"/>
      <c r="S81" s="194"/>
      <c r="T81" s="194"/>
      <c r="U81" s="195"/>
    </row>
    <row r="82" spans="1:22">
      <c r="A82" s="182"/>
      <c r="B82" s="185"/>
      <c r="C82" s="185"/>
      <c r="D82" s="188"/>
      <c r="E82" s="25"/>
      <c r="F82" s="25" t="s">
        <v>27</v>
      </c>
      <c r="G82" s="25"/>
      <c r="H82" s="26"/>
      <c r="I82" s="191"/>
      <c r="J82" s="196" t="s">
        <v>28</v>
      </c>
      <c r="K82" s="196" t="s">
        <v>29</v>
      </c>
      <c r="L82" s="199" t="s">
        <v>30</v>
      </c>
      <c r="M82" s="196" t="s">
        <v>31</v>
      </c>
      <c r="N82" s="199" t="s">
        <v>32</v>
      </c>
      <c r="O82" s="196" t="s">
        <v>33</v>
      </c>
      <c r="P82" s="196" t="s">
        <v>34</v>
      </c>
      <c r="Q82" s="196" t="s">
        <v>35</v>
      </c>
      <c r="R82" s="196" t="s">
        <v>36</v>
      </c>
      <c r="S82" s="196" t="s">
        <v>37</v>
      </c>
      <c r="T82" s="196" t="s">
        <v>38</v>
      </c>
      <c r="U82" s="202" t="s">
        <v>39</v>
      </c>
    </row>
    <row r="83" spans="1:22">
      <c r="A83" s="182"/>
      <c r="B83" s="185"/>
      <c r="C83" s="185"/>
      <c r="D83" s="188"/>
      <c r="E83" s="25"/>
      <c r="F83" s="25"/>
      <c r="G83" s="25"/>
      <c r="H83" s="26"/>
      <c r="I83" s="191"/>
      <c r="J83" s="197"/>
      <c r="K83" s="197"/>
      <c r="L83" s="200"/>
      <c r="M83" s="197"/>
      <c r="N83" s="200"/>
      <c r="O83" s="197"/>
      <c r="P83" s="197"/>
      <c r="Q83" s="197"/>
      <c r="R83" s="197"/>
      <c r="S83" s="197"/>
      <c r="T83" s="197"/>
      <c r="U83" s="203"/>
    </row>
    <row r="84" spans="1:22">
      <c r="A84" s="183"/>
      <c r="B84" s="186"/>
      <c r="C84" s="186"/>
      <c r="D84" s="189"/>
      <c r="E84" s="27"/>
      <c r="F84" s="27"/>
      <c r="G84" s="27"/>
      <c r="H84" s="28"/>
      <c r="I84" s="192"/>
      <c r="J84" s="198"/>
      <c r="K84" s="198"/>
      <c r="L84" s="201"/>
      <c r="M84" s="198"/>
      <c r="N84" s="201"/>
      <c r="O84" s="198"/>
      <c r="P84" s="198"/>
      <c r="Q84" s="198"/>
      <c r="R84" s="198"/>
      <c r="S84" s="198"/>
      <c r="T84" s="198"/>
      <c r="U84" s="204"/>
    </row>
    <row r="85" spans="1:22">
      <c r="A85" s="29" t="s">
        <v>40</v>
      </c>
      <c r="B85" s="30" t="s">
        <v>41</v>
      </c>
      <c r="C85" s="31" t="s">
        <v>42</v>
      </c>
      <c r="D85" s="32"/>
      <c r="E85" s="33" t="s">
        <v>43</v>
      </c>
      <c r="F85" s="33"/>
      <c r="G85" s="33"/>
      <c r="H85" s="34"/>
      <c r="I85" s="173">
        <f>SUM(J85:U86)</f>
        <v>52062</v>
      </c>
      <c r="J85" s="173">
        <f>SUM(J87:J102)</f>
        <v>3522</v>
      </c>
      <c r="K85" s="173">
        <f t="shared" ref="K85:U85" si="8">SUM(K87:K102)</f>
        <v>4576</v>
      </c>
      <c r="L85" s="176">
        <f t="shared" si="8"/>
        <v>5535</v>
      </c>
      <c r="M85" s="173">
        <f t="shared" si="8"/>
        <v>5026</v>
      </c>
      <c r="N85" s="176">
        <f t="shared" si="8"/>
        <v>6010</v>
      </c>
      <c r="O85" s="173">
        <f t="shared" si="8"/>
        <v>5114</v>
      </c>
      <c r="P85" s="173">
        <f t="shared" si="8"/>
        <v>3248</v>
      </c>
      <c r="Q85" s="173">
        <f t="shared" si="8"/>
        <v>3833</v>
      </c>
      <c r="R85" s="173">
        <f t="shared" si="8"/>
        <v>3684</v>
      </c>
      <c r="S85" s="173">
        <f t="shared" si="8"/>
        <v>3933</v>
      </c>
      <c r="T85" s="173">
        <f t="shared" si="8"/>
        <v>4054</v>
      </c>
      <c r="U85" s="174">
        <f t="shared" si="8"/>
        <v>3527</v>
      </c>
    </row>
    <row r="86" spans="1:22" ht="15" thickBot="1">
      <c r="A86" s="35"/>
      <c r="B86" s="36"/>
      <c r="C86" s="37"/>
      <c r="D86" s="38"/>
      <c r="E86" s="39" t="s">
        <v>44</v>
      </c>
      <c r="F86" s="39"/>
      <c r="G86" s="39"/>
      <c r="H86" s="40"/>
      <c r="I86" s="152"/>
      <c r="J86" s="152"/>
      <c r="K86" s="152"/>
      <c r="L86" s="154"/>
      <c r="M86" s="152"/>
      <c r="N86" s="154"/>
      <c r="O86" s="152"/>
      <c r="P86" s="152"/>
      <c r="Q86" s="152"/>
      <c r="R86" s="152"/>
      <c r="S86" s="152"/>
      <c r="T86" s="152"/>
      <c r="U86" s="175"/>
    </row>
    <row r="87" spans="1:22">
      <c r="A87" s="41"/>
      <c r="B87" s="41"/>
      <c r="C87" s="41"/>
      <c r="D87" s="42">
        <v>111</v>
      </c>
      <c r="E87" s="155" t="s">
        <v>45</v>
      </c>
      <c r="F87" s="156"/>
      <c r="G87" s="156"/>
      <c r="H87" s="157"/>
      <c r="I87" s="71">
        <f>SUM(J87:U87)</f>
        <v>38088</v>
      </c>
      <c r="J87" s="43">
        <v>3174</v>
      </c>
      <c r="K87" s="44">
        <f>3174-910</f>
        <v>2264</v>
      </c>
      <c r="L87" s="43">
        <f>3174+826</f>
        <v>4000</v>
      </c>
      <c r="M87" s="43">
        <f>3174+58</f>
        <v>3232</v>
      </c>
      <c r="N87" s="43">
        <f>4000+12</f>
        <v>4012</v>
      </c>
      <c r="O87" s="43">
        <f>3500+12</f>
        <v>3512</v>
      </c>
      <c r="P87" s="43">
        <f>2022+2</f>
        <v>2024</v>
      </c>
      <c r="Q87" s="43">
        <v>3174</v>
      </c>
      <c r="R87" s="43">
        <v>3174</v>
      </c>
      <c r="S87" s="43">
        <v>3174</v>
      </c>
      <c r="T87" s="43">
        <v>3174</v>
      </c>
      <c r="U87" s="43">
        <v>3174</v>
      </c>
    </row>
    <row r="88" spans="1:22">
      <c r="A88" s="41"/>
      <c r="B88" s="41"/>
      <c r="C88" s="41"/>
      <c r="D88" s="42">
        <v>113</v>
      </c>
      <c r="E88" s="158" t="s">
        <v>46</v>
      </c>
      <c r="F88" s="159"/>
      <c r="G88" s="159"/>
      <c r="H88" s="160"/>
      <c r="I88" s="71">
        <f>SUM(J88:U88)</f>
        <v>2620</v>
      </c>
      <c r="J88" s="45"/>
      <c r="K88" s="46"/>
      <c r="L88" s="46"/>
      <c r="M88" s="45"/>
      <c r="N88" s="46">
        <v>863</v>
      </c>
      <c r="O88" s="46">
        <v>800</v>
      </c>
      <c r="P88" s="46">
        <v>837</v>
      </c>
      <c r="Q88" s="46">
        <v>120</v>
      </c>
      <c r="R88" s="46"/>
      <c r="S88" s="46"/>
      <c r="T88" s="46"/>
      <c r="U88" s="46"/>
    </row>
    <row r="89" spans="1:22">
      <c r="A89" s="42"/>
      <c r="B89" s="42"/>
      <c r="C89" s="42"/>
      <c r="D89" s="42">
        <v>121</v>
      </c>
      <c r="E89" s="158" t="s">
        <v>47</v>
      </c>
      <c r="F89" s="159"/>
      <c r="G89" s="159"/>
      <c r="H89" s="160"/>
      <c r="I89" s="86">
        <f>SUM(J89:U89)</f>
        <v>2063</v>
      </c>
      <c r="J89" s="45">
        <v>172</v>
      </c>
      <c r="K89" s="46">
        <f>172-44</f>
        <v>128</v>
      </c>
      <c r="L89" s="45">
        <f>172+44</f>
        <v>216</v>
      </c>
      <c r="M89" s="45">
        <v>172</v>
      </c>
      <c r="N89" s="45">
        <v>216</v>
      </c>
      <c r="O89" s="45">
        <v>189</v>
      </c>
      <c r="P89" s="45">
        <v>110</v>
      </c>
      <c r="Q89" s="45">
        <v>172</v>
      </c>
      <c r="R89" s="45">
        <v>172</v>
      </c>
      <c r="S89" s="45">
        <v>172</v>
      </c>
      <c r="T89" s="45">
        <v>172</v>
      </c>
      <c r="U89" s="45">
        <v>172</v>
      </c>
    </row>
    <row r="90" spans="1:22">
      <c r="A90" s="47"/>
      <c r="B90" s="47"/>
      <c r="C90" s="47"/>
      <c r="D90" s="47">
        <v>122</v>
      </c>
      <c r="E90" s="161" t="s">
        <v>48</v>
      </c>
      <c r="F90" s="162"/>
      <c r="G90" s="162"/>
      <c r="H90" s="163"/>
      <c r="I90" s="86"/>
      <c r="J90" s="48"/>
      <c r="K90" s="50"/>
      <c r="L90" s="50"/>
      <c r="M90" s="49"/>
      <c r="N90" s="50"/>
      <c r="O90" s="50"/>
      <c r="P90" s="50"/>
      <c r="Q90" s="50"/>
      <c r="R90" s="50"/>
      <c r="S90" s="50"/>
      <c r="T90" s="50"/>
      <c r="U90" s="50"/>
    </row>
    <row r="91" spans="1:22">
      <c r="A91" s="51"/>
      <c r="B91" s="51"/>
      <c r="C91" s="51"/>
      <c r="D91" s="51"/>
      <c r="E91" s="144" t="s">
        <v>49</v>
      </c>
      <c r="F91" s="145"/>
      <c r="G91" s="145"/>
      <c r="H91" s="146"/>
      <c r="I91" s="75">
        <f>SUM(J91:U91)</f>
        <v>1201</v>
      </c>
      <c r="J91" s="45">
        <v>100</v>
      </c>
      <c r="K91" s="46">
        <f>100-22</f>
        <v>78</v>
      </c>
      <c r="L91" s="45">
        <f>100+22</f>
        <v>122</v>
      </c>
      <c r="M91" s="45">
        <v>100</v>
      </c>
      <c r="N91" s="45">
        <v>126</v>
      </c>
      <c r="O91" s="45">
        <v>111</v>
      </c>
      <c r="P91" s="45">
        <v>64</v>
      </c>
      <c r="Q91" s="45">
        <v>100</v>
      </c>
      <c r="R91" s="45">
        <v>100</v>
      </c>
      <c r="S91" s="45">
        <v>100</v>
      </c>
      <c r="T91" s="45">
        <v>100</v>
      </c>
      <c r="U91" s="45">
        <v>100</v>
      </c>
    </row>
    <row r="92" spans="1:22">
      <c r="A92" s="42"/>
      <c r="B92" s="42"/>
      <c r="C92" s="42"/>
      <c r="D92" s="42">
        <v>123</v>
      </c>
      <c r="E92" s="161" t="s">
        <v>50</v>
      </c>
      <c r="F92" s="162"/>
      <c r="G92" s="162"/>
      <c r="H92" s="163"/>
      <c r="I92" s="86">
        <f>J92+K92+L92+M92+N92+O92+P92+Q92+R92+S92+T92+U92</f>
        <v>18</v>
      </c>
      <c r="J92" s="45"/>
      <c r="K92" s="46"/>
      <c r="L92" s="46"/>
      <c r="M92" s="45">
        <v>18</v>
      </c>
      <c r="N92" s="46"/>
      <c r="O92" s="46"/>
      <c r="P92" s="46"/>
      <c r="Q92" s="46"/>
      <c r="R92" s="46"/>
      <c r="S92" s="46"/>
      <c r="T92" s="46"/>
      <c r="U92" s="46"/>
    </row>
    <row r="93" spans="1:22">
      <c r="A93" s="51"/>
      <c r="B93" s="51"/>
      <c r="C93" s="51"/>
      <c r="D93" s="51">
        <v>124</v>
      </c>
      <c r="E93" s="147" t="s">
        <v>51</v>
      </c>
      <c r="F93" s="148"/>
      <c r="G93" s="148"/>
      <c r="H93" s="149"/>
      <c r="I93" s="71">
        <f>SUM(J93:U93)</f>
        <v>757</v>
      </c>
      <c r="J93" s="53">
        <v>63</v>
      </c>
      <c r="K93" s="53">
        <f>63-20</f>
        <v>43</v>
      </c>
      <c r="L93" s="53">
        <f>63+20</f>
        <v>83</v>
      </c>
      <c r="M93" s="53">
        <v>63</v>
      </c>
      <c r="N93" s="53">
        <v>80</v>
      </c>
      <c r="O93" s="53">
        <v>70</v>
      </c>
      <c r="P93" s="53">
        <v>40</v>
      </c>
      <c r="Q93" s="53">
        <v>63</v>
      </c>
      <c r="R93" s="53">
        <v>63</v>
      </c>
      <c r="S93" s="53">
        <v>63</v>
      </c>
      <c r="T93" s="53">
        <v>63</v>
      </c>
      <c r="U93" s="53">
        <v>63</v>
      </c>
      <c r="V93" s="78">
        <v>0.02</v>
      </c>
    </row>
    <row r="94" spans="1:22">
      <c r="A94" s="42"/>
      <c r="B94" s="42"/>
      <c r="C94" s="42"/>
      <c r="D94" s="42">
        <v>142</v>
      </c>
      <c r="E94" s="54" t="s">
        <v>52</v>
      </c>
      <c r="F94" s="54"/>
      <c r="G94" s="54"/>
      <c r="H94" s="54"/>
      <c r="I94" s="71">
        <f>J94+K94+L94+M94+N94+O94+P94+Q94+R94+S94+T94+U94</f>
        <v>80</v>
      </c>
      <c r="J94" s="45"/>
      <c r="K94" s="46">
        <v>80</v>
      </c>
      <c r="L94" s="46"/>
      <c r="M94" s="45"/>
      <c r="N94" s="46"/>
      <c r="O94" s="46"/>
      <c r="P94" s="46"/>
      <c r="Q94" s="46"/>
      <c r="R94" s="46"/>
      <c r="S94" s="46"/>
      <c r="T94" s="46"/>
      <c r="U94" s="46"/>
    </row>
    <row r="95" spans="1:22" hidden="1">
      <c r="A95" s="41"/>
      <c r="B95" s="41"/>
      <c r="C95" s="41"/>
      <c r="D95" s="41">
        <v>143</v>
      </c>
      <c r="E95" s="164" t="s">
        <v>53</v>
      </c>
      <c r="F95" s="165"/>
      <c r="G95" s="165"/>
      <c r="H95" s="166"/>
      <c r="I95" s="75">
        <f>SUM(J95:U95)</f>
        <v>0</v>
      </c>
      <c r="J95" s="55"/>
      <c r="K95" s="44"/>
      <c r="L95" s="44"/>
      <c r="M95" s="43"/>
      <c r="N95" s="44"/>
      <c r="O95" s="44"/>
      <c r="P95" s="44"/>
      <c r="Q95" s="44"/>
      <c r="R95" s="44"/>
      <c r="S95" s="44"/>
      <c r="T95" s="44"/>
      <c r="U95" s="44"/>
    </row>
    <row r="96" spans="1:22">
      <c r="A96" s="41"/>
      <c r="B96" s="41"/>
      <c r="C96" s="41"/>
      <c r="D96" s="41">
        <v>144</v>
      </c>
      <c r="E96" s="164" t="s">
        <v>54</v>
      </c>
      <c r="F96" s="165"/>
      <c r="G96" s="165"/>
      <c r="H96" s="166"/>
      <c r="I96" s="75">
        <f t="shared" ref="I96:I103" si="9">SUM(J96:U96)</f>
        <v>250</v>
      </c>
      <c r="J96" s="55"/>
      <c r="K96" s="44">
        <v>250</v>
      </c>
      <c r="L96" s="44"/>
      <c r="M96" s="43"/>
      <c r="N96" s="44"/>
      <c r="O96" s="44"/>
      <c r="P96" s="44"/>
      <c r="Q96" s="44"/>
      <c r="R96" s="44"/>
      <c r="S96" s="44"/>
      <c r="T96" s="44"/>
      <c r="U96" s="44"/>
    </row>
    <row r="97" spans="1:21" s="82" customFormat="1">
      <c r="A97" s="80"/>
      <c r="B97" s="80"/>
      <c r="C97" s="80"/>
      <c r="D97" s="80">
        <v>149</v>
      </c>
      <c r="E97" s="81" t="s">
        <v>55</v>
      </c>
      <c r="F97" s="81"/>
      <c r="G97" s="81"/>
      <c r="H97" s="81"/>
      <c r="I97" s="71">
        <f t="shared" si="9"/>
        <v>1914</v>
      </c>
      <c r="J97" s="46"/>
      <c r="K97" s="46">
        <v>200</v>
      </c>
      <c r="L97" s="46">
        <v>614</v>
      </c>
      <c r="M97" s="46">
        <v>300</v>
      </c>
      <c r="N97" s="46">
        <v>500</v>
      </c>
      <c r="O97" s="46">
        <v>300</v>
      </c>
      <c r="P97" s="46"/>
      <c r="Q97" s="46"/>
      <c r="R97" s="46"/>
      <c r="S97" s="46"/>
      <c r="T97" s="46"/>
      <c r="U97" s="46"/>
    </row>
    <row r="98" spans="1:21" s="82" customFormat="1">
      <c r="A98" s="80"/>
      <c r="B98" s="80"/>
      <c r="C98" s="80"/>
      <c r="D98" s="80">
        <v>151</v>
      </c>
      <c r="E98" s="81" t="s">
        <v>56</v>
      </c>
      <c r="F98" s="81"/>
      <c r="G98" s="81"/>
      <c r="H98" s="81"/>
      <c r="I98" s="71">
        <f t="shared" si="9"/>
        <v>3900</v>
      </c>
      <c r="J98" s="46"/>
      <c r="K98" s="46">
        <v>1300</v>
      </c>
      <c r="L98" s="46">
        <v>500</v>
      </c>
      <c r="M98" s="46">
        <v>450</v>
      </c>
      <c r="N98" s="46">
        <f>100+130-30</f>
        <v>200</v>
      </c>
      <c r="O98" s="46">
        <f>100+30-30</f>
        <v>100</v>
      </c>
      <c r="P98" s="46">
        <v>150</v>
      </c>
      <c r="Q98" s="46">
        <v>130</v>
      </c>
      <c r="R98" s="46">
        <v>150</v>
      </c>
      <c r="S98" s="46">
        <v>400</v>
      </c>
      <c r="T98" s="46">
        <v>520</v>
      </c>
      <c r="U98" s="46"/>
    </row>
    <row r="99" spans="1:21" s="82" customFormat="1">
      <c r="A99" s="80"/>
      <c r="B99" s="80"/>
      <c r="C99" s="80"/>
      <c r="D99" s="80">
        <v>152</v>
      </c>
      <c r="E99" s="83" t="s">
        <v>57</v>
      </c>
      <c r="F99" s="81"/>
      <c r="G99" s="81"/>
      <c r="H99" s="84"/>
      <c r="I99" s="71">
        <f t="shared" si="9"/>
        <v>126</v>
      </c>
      <c r="J99" s="46"/>
      <c r="K99" s="46">
        <f>12+50</f>
        <v>62</v>
      </c>
      <c r="L99" s="46">
        <v>0</v>
      </c>
      <c r="M99" s="46">
        <v>0</v>
      </c>
      <c r="N99" s="46">
        <v>0</v>
      </c>
      <c r="O99" s="46">
        <v>0</v>
      </c>
      <c r="P99" s="46">
        <f>12-2</f>
        <v>10</v>
      </c>
      <c r="Q99" s="46">
        <v>12</v>
      </c>
      <c r="R99" s="46">
        <v>12</v>
      </c>
      <c r="S99" s="46">
        <v>12</v>
      </c>
      <c r="T99" s="46">
        <v>12</v>
      </c>
      <c r="U99" s="46">
        <v>6</v>
      </c>
    </row>
    <row r="100" spans="1:21" s="82" customFormat="1">
      <c r="A100" s="80"/>
      <c r="B100" s="80"/>
      <c r="C100" s="80"/>
      <c r="D100" s="80">
        <v>159</v>
      </c>
      <c r="E100" s="167" t="s">
        <v>58</v>
      </c>
      <c r="F100" s="168"/>
      <c r="G100" s="168"/>
      <c r="H100" s="169"/>
      <c r="I100" s="71">
        <f t="shared" si="9"/>
        <v>860</v>
      </c>
      <c r="J100" s="46">
        <v>13</v>
      </c>
      <c r="K100" s="46">
        <f>12+59</f>
        <v>71</v>
      </c>
      <c r="L100" s="46">
        <v>0</v>
      </c>
      <c r="M100" s="46">
        <f>722-46</f>
        <v>676</v>
      </c>
      <c r="N100" s="46">
        <v>13</v>
      </c>
      <c r="O100" s="46">
        <v>12</v>
      </c>
      <c r="P100" s="46">
        <v>13</v>
      </c>
      <c r="Q100" s="46">
        <v>12</v>
      </c>
      <c r="R100" s="46">
        <v>13</v>
      </c>
      <c r="S100" s="46">
        <v>12</v>
      </c>
      <c r="T100" s="46">
        <v>13</v>
      </c>
      <c r="U100" s="46">
        <v>12</v>
      </c>
    </row>
    <row r="101" spans="1:21">
      <c r="A101" s="42"/>
      <c r="B101" s="42"/>
      <c r="C101" s="42"/>
      <c r="D101" s="42">
        <v>161</v>
      </c>
      <c r="E101" s="87" t="s">
        <v>59</v>
      </c>
      <c r="F101" s="88"/>
      <c r="G101" s="88"/>
      <c r="H101" s="89"/>
      <c r="I101" s="71">
        <f t="shared" si="9"/>
        <v>90</v>
      </c>
      <c r="J101" s="45"/>
      <c r="K101" s="46">
        <v>90</v>
      </c>
      <c r="L101" s="46"/>
      <c r="M101" s="45"/>
      <c r="N101" s="46"/>
      <c r="O101" s="46"/>
      <c r="P101" s="46"/>
      <c r="Q101" s="46"/>
      <c r="R101" s="46"/>
      <c r="S101" s="46"/>
      <c r="T101" s="46"/>
      <c r="U101" s="46"/>
    </row>
    <row r="102" spans="1:21">
      <c r="A102" s="42"/>
      <c r="B102" s="42"/>
      <c r="C102" s="42"/>
      <c r="D102" s="42">
        <v>169</v>
      </c>
      <c r="E102" s="158" t="s">
        <v>60</v>
      </c>
      <c r="F102" s="159"/>
      <c r="G102" s="159"/>
      <c r="H102" s="160"/>
      <c r="I102" s="71">
        <f t="shared" si="9"/>
        <v>95</v>
      </c>
      <c r="J102" s="45"/>
      <c r="K102" s="46">
        <v>10</v>
      </c>
      <c r="L102" s="46"/>
      <c r="M102" s="45">
        <v>15</v>
      </c>
      <c r="N102" s="46"/>
      <c r="O102" s="46">
        <v>20</v>
      </c>
      <c r="P102" s="46"/>
      <c r="Q102" s="46">
        <v>50</v>
      </c>
      <c r="R102" s="46"/>
      <c r="S102" s="46"/>
      <c r="T102" s="46"/>
      <c r="U102" s="46"/>
    </row>
    <row r="103" spans="1:21" hidden="1">
      <c r="A103" s="47"/>
      <c r="B103" s="47"/>
      <c r="C103" s="47"/>
      <c r="D103" s="47">
        <v>418</v>
      </c>
      <c r="E103" s="158" t="s">
        <v>75</v>
      </c>
      <c r="F103" s="159"/>
      <c r="G103" s="159"/>
      <c r="H103" s="160"/>
      <c r="I103" s="71">
        <f t="shared" si="9"/>
        <v>0</v>
      </c>
      <c r="J103" s="49"/>
      <c r="K103" s="49"/>
      <c r="L103" s="50"/>
      <c r="M103" s="49"/>
      <c r="N103" s="50"/>
      <c r="O103" s="50"/>
      <c r="P103" s="50"/>
      <c r="Q103" s="50"/>
      <c r="R103" s="50"/>
      <c r="S103" s="50"/>
      <c r="T103" s="50"/>
      <c r="U103" s="50"/>
    </row>
    <row r="104" spans="1:21" ht="15" thickBot="1">
      <c r="A104" s="47"/>
      <c r="B104" s="47"/>
      <c r="C104" s="47"/>
      <c r="D104" s="59"/>
      <c r="E104" s="170" t="s">
        <v>61</v>
      </c>
      <c r="F104" s="171"/>
      <c r="G104" s="171"/>
      <c r="H104" s="172"/>
      <c r="I104" s="86">
        <f>SUM(J104:U104)</f>
        <v>52062</v>
      </c>
      <c r="J104" s="85">
        <f>SUM(J87:J102)</f>
        <v>3522</v>
      </c>
      <c r="K104" s="85">
        <f>SUM(K87:K103)</f>
        <v>4576</v>
      </c>
      <c r="L104" s="86">
        <f t="shared" ref="L104" si="10">SUM(L87:L102)</f>
        <v>5535</v>
      </c>
      <c r="M104" s="86">
        <f>SUM(M87:M103)</f>
        <v>5026</v>
      </c>
      <c r="N104" s="86">
        <f>SUM(N87:N103)</f>
        <v>6010</v>
      </c>
      <c r="O104" s="85">
        <f t="shared" ref="O104:U104" si="11">SUM(O87:O102)</f>
        <v>5114</v>
      </c>
      <c r="P104" s="85">
        <f t="shared" si="11"/>
        <v>3248</v>
      </c>
      <c r="Q104" s="85">
        <f t="shared" si="11"/>
        <v>3833</v>
      </c>
      <c r="R104" s="85">
        <f t="shared" si="11"/>
        <v>3684</v>
      </c>
      <c r="S104" s="85">
        <f t="shared" si="11"/>
        <v>3933</v>
      </c>
      <c r="T104" s="85">
        <f t="shared" si="11"/>
        <v>4054</v>
      </c>
      <c r="U104" s="86">
        <f t="shared" si="11"/>
        <v>3527</v>
      </c>
    </row>
    <row r="105" spans="1:21">
      <c r="A105" s="62" t="s">
        <v>40</v>
      </c>
      <c r="B105" s="63" t="s">
        <v>41</v>
      </c>
      <c r="C105" s="64" t="s">
        <v>62</v>
      </c>
      <c r="D105" s="65"/>
      <c r="E105" s="66" t="s">
        <v>43</v>
      </c>
      <c r="F105" s="66"/>
      <c r="G105" s="66"/>
      <c r="H105" s="67"/>
      <c r="I105" s="153">
        <f>SUM(J105:U106)</f>
        <v>3500</v>
      </c>
      <c r="J105" s="151">
        <f>SUM(J107:J112)</f>
        <v>0</v>
      </c>
      <c r="K105" s="151">
        <f t="shared" ref="K105:U105" si="12">SUM(K107:K112)</f>
        <v>924</v>
      </c>
      <c r="L105" s="151">
        <f t="shared" si="12"/>
        <v>438</v>
      </c>
      <c r="M105" s="151">
        <f t="shared" si="12"/>
        <v>388</v>
      </c>
      <c r="N105" s="153">
        <f t="shared" si="12"/>
        <v>0</v>
      </c>
      <c r="O105" s="151">
        <f t="shared" si="12"/>
        <v>0</v>
      </c>
      <c r="P105" s="151">
        <f t="shared" si="12"/>
        <v>0</v>
      </c>
      <c r="Q105" s="151">
        <f t="shared" si="12"/>
        <v>0</v>
      </c>
      <c r="R105" s="151">
        <f t="shared" si="12"/>
        <v>0</v>
      </c>
      <c r="S105" s="151">
        <f t="shared" si="12"/>
        <v>0</v>
      </c>
      <c r="T105" s="151">
        <f t="shared" si="12"/>
        <v>875</v>
      </c>
      <c r="U105" s="153">
        <f t="shared" si="12"/>
        <v>875</v>
      </c>
    </row>
    <row r="106" spans="1:21" ht="15" thickBot="1">
      <c r="A106" s="35"/>
      <c r="B106" s="36"/>
      <c r="C106" s="37"/>
      <c r="D106" s="38"/>
      <c r="E106" s="39" t="s">
        <v>44</v>
      </c>
      <c r="F106" s="39"/>
      <c r="G106" s="39"/>
      <c r="H106" s="40"/>
      <c r="I106" s="154"/>
      <c r="J106" s="152"/>
      <c r="K106" s="152"/>
      <c r="L106" s="152"/>
      <c r="M106" s="152"/>
      <c r="N106" s="154"/>
      <c r="O106" s="152"/>
      <c r="P106" s="152"/>
      <c r="Q106" s="152"/>
      <c r="R106" s="152"/>
      <c r="S106" s="152"/>
      <c r="T106" s="152"/>
      <c r="U106" s="154"/>
    </row>
    <row r="107" spans="1:21">
      <c r="A107" s="41"/>
      <c r="B107" s="41"/>
      <c r="C107" s="41"/>
      <c r="D107" s="42">
        <v>111</v>
      </c>
      <c r="E107" s="155" t="s">
        <v>45</v>
      </c>
      <c r="F107" s="156"/>
      <c r="G107" s="156"/>
      <c r="H107" s="157"/>
      <c r="I107" s="68">
        <f>SUM(J107:U107)</f>
        <v>3176</v>
      </c>
      <c r="J107" s="43"/>
      <c r="K107" s="43">
        <v>800</v>
      </c>
      <c r="L107" s="43">
        <v>400</v>
      </c>
      <c r="M107" s="43">
        <v>388</v>
      </c>
      <c r="N107" s="44"/>
      <c r="O107" s="43"/>
      <c r="P107" s="43"/>
      <c r="Q107" s="43"/>
      <c r="R107" s="43">
        <v>0</v>
      </c>
      <c r="S107" s="43">
        <v>0</v>
      </c>
      <c r="T107" s="43">
        <v>794</v>
      </c>
      <c r="U107" s="43">
        <v>794</v>
      </c>
    </row>
    <row r="108" spans="1:21" hidden="1">
      <c r="A108" s="41"/>
      <c r="B108" s="41"/>
      <c r="C108" s="41"/>
      <c r="D108" s="42">
        <v>113</v>
      </c>
      <c r="E108" s="158" t="s">
        <v>46</v>
      </c>
      <c r="F108" s="159"/>
      <c r="G108" s="159"/>
      <c r="H108" s="160"/>
      <c r="I108" s="68">
        <f>SUM(J108:U108)</f>
        <v>0</v>
      </c>
      <c r="J108" s="45"/>
      <c r="K108" s="45"/>
      <c r="L108" s="46"/>
      <c r="M108" s="46"/>
      <c r="N108" s="46"/>
      <c r="O108" s="45"/>
      <c r="P108" s="46"/>
      <c r="Q108" s="46"/>
      <c r="R108" s="46"/>
      <c r="S108" s="46"/>
      <c r="T108" s="46"/>
      <c r="U108" s="46"/>
    </row>
    <row r="109" spans="1:21">
      <c r="A109" s="42"/>
      <c r="B109" s="42"/>
      <c r="C109" s="42"/>
      <c r="D109" s="42">
        <v>121</v>
      </c>
      <c r="E109" s="158" t="s">
        <v>47</v>
      </c>
      <c r="F109" s="159"/>
      <c r="G109" s="159"/>
      <c r="H109" s="160"/>
      <c r="I109" s="85">
        <f>SUM(J109:U109)</f>
        <v>172</v>
      </c>
      <c r="J109" s="45"/>
      <c r="K109" s="45">
        <v>60</v>
      </c>
      <c r="L109" s="45">
        <v>26</v>
      </c>
      <c r="M109" s="45"/>
      <c r="N109" s="46"/>
      <c r="O109" s="45"/>
      <c r="P109" s="45"/>
      <c r="Q109" s="45"/>
      <c r="R109" s="45">
        <v>0</v>
      </c>
      <c r="S109" s="45">
        <v>0</v>
      </c>
      <c r="T109" s="45">
        <v>43</v>
      </c>
      <c r="U109" s="45">
        <v>43</v>
      </c>
    </row>
    <row r="110" spans="1:21">
      <c r="A110" s="47"/>
      <c r="B110" s="47"/>
      <c r="C110" s="47"/>
      <c r="D110" s="47">
        <v>122</v>
      </c>
      <c r="E110" s="161" t="s">
        <v>48</v>
      </c>
      <c r="F110" s="162"/>
      <c r="G110" s="162"/>
      <c r="H110" s="163"/>
      <c r="I110" s="68"/>
      <c r="J110" s="48"/>
      <c r="K110" s="49"/>
      <c r="L110" s="50"/>
      <c r="M110" s="50"/>
      <c r="N110" s="50"/>
      <c r="O110" s="49"/>
      <c r="P110" s="50"/>
      <c r="Q110" s="50"/>
      <c r="R110" s="50"/>
      <c r="S110" s="50"/>
      <c r="T110" s="50"/>
      <c r="U110" s="50"/>
    </row>
    <row r="111" spans="1:21">
      <c r="A111" s="51"/>
      <c r="B111" s="51"/>
      <c r="C111" s="51"/>
      <c r="D111" s="51"/>
      <c r="E111" s="144" t="s">
        <v>49</v>
      </c>
      <c r="F111" s="145"/>
      <c r="G111" s="145"/>
      <c r="H111" s="146"/>
      <c r="I111" s="69">
        <f>SUM(J111:U111)</f>
        <v>104</v>
      </c>
      <c r="J111" s="45"/>
      <c r="K111" s="45">
        <v>40</v>
      </c>
      <c r="L111" s="45">
        <v>12</v>
      </c>
      <c r="M111" s="45"/>
      <c r="N111" s="46"/>
      <c r="O111" s="45"/>
      <c r="P111" s="45"/>
      <c r="Q111" s="45"/>
      <c r="R111" s="45">
        <v>0</v>
      </c>
      <c r="S111" s="45">
        <v>0</v>
      </c>
      <c r="T111" s="45">
        <v>26</v>
      </c>
      <c r="U111" s="45">
        <v>26</v>
      </c>
    </row>
    <row r="112" spans="1:21">
      <c r="A112" s="42"/>
      <c r="B112" s="42"/>
      <c r="C112" s="42"/>
      <c r="D112" s="42">
        <v>124</v>
      </c>
      <c r="E112" s="147" t="s">
        <v>51</v>
      </c>
      <c r="F112" s="148"/>
      <c r="G112" s="148"/>
      <c r="H112" s="149"/>
      <c r="I112" s="85">
        <f>SUM(J112:U112)</f>
        <v>48</v>
      </c>
      <c r="J112" s="52"/>
      <c r="K112" s="52">
        <v>24</v>
      </c>
      <c r="L112" s="52"/>
      <c r="M112" s="52"/>
      <c r="N112" s="53"/>
      <c r="O112" s="52"/>
      <c r="P112" s="52"/>
      <c r="Q112" s="52"/>
      <c r="R112" s="52">
        <v>0</v>
      </c>
      <c r="S112" s="52">
        <v>0</v>
      </c>
      <c r="T112" s="52">
        <v>12</v>
      </c>
      <c r="U112" s="52">
        <v>12</v>
      </c>
    </row>
    <row r="113" spans="1:21" ht="15" thickBot="1">
      <c r="A113" s="42"/>
      <c r="B113" s="42"/>
      <c r="C113" s="42"/>
      <c r="D113" s="70"/>
      <c r="E113" s="150" t="s">
        <v>63</v>
      </c>
      <c r="F113" s="150"/>
      <c r="G113" s="150"/>
      <c r="H113" s="150"/>
      <c r="I113" s="71">
        <f>SUM(I107:I112)</f>
        <v>3500</v>
      </c>
      <c r="J113" s="68">
        <f t="shared" ref="J113:U113" si="13">SUM(J107:J112)</f>
        <v>0</v>
      </c>
      <c r="K113" s="68">
        <f t="shared" si="13"/>
        <v>924</v>
      </c>
      <c r="L113" s="68">
        <f t="shared" si="13"/>
        <v>438</v>
      </c>
      <c r="M113" s="68">
        <f t="shared" si="13"/>
        <v>388</v>
      </c>
      <c r="N113" s="71">
        <f t="shared" si="13"/>
        <v>0</v>
      </c>
      <c r="O113" s="68">
        <f t="shared" si="13"/>
        <v>0</v>
      </c>
      <c r="P113" s="68">
        <f t="shared" si="13"/>
        <v>0</v>
      </c>
      <c r="Q113" s="68">
        <f t="shared" si="13"/>
        <v>0</v>
      </c>
      <c r="R113" s="68">
        <f t="shared" si="13"/>
        <v>0</v>
      </c>
      <c r="S113" s="71">
        <f t="shared" si="13"/>
        <v>0</v>
      </c>
      <c r="T113" s="68">
        <f t="shared" si="13"/>
        <v>875</v>
      </c>
      <c r="U113" s="71">
        <f t="shared" si="13"/>
        <v>875</v>
      </c>
    </row>
    <row r="114" spans="1:21">
      <c r="A114" s="62" t="s">
        <v>40</v>
      </c>
      <c r="B114" s="63" t="s">
        <v>41</v>
      </c>
      <c r="C114" s="64" t="s">
        <v>76</v>
      </c>
      <c r="D114" s="65"/>
      <c r="E114" s="66" t="s">
        <v>43</v>
      </c>
      <c r="F114" s="66"/>
      <c r="G114" s="66"/>
      <c r="H114" s="67"/>
      <c r="I114" s="153">
        <f>SUM(J114:U115)</f>
        <v>1090</v>
      </c>
      <c r="J114" s="151">
        <f t="shared" ref="J114:U114" si="14">SUM(J116:J120)</f>
        <v>0</v>
      </c>
      <c r="K114" s="151">
        <f t="shared" si="14"/>
        <v>0</v>
      </c>
      <c r="L114" s="151">
        <f t="shared" si="14"/>
        <v>0</v>
      </c>
      <c r="M114" s="151">
        <f t="shared" si="14"/>
        <v>0</v>
      </c>
      <c r="N114" s="153">
        <f t="shared" si="14"/>
        <v>0</v>
      </c>
      <c r="O114" s="151">
        <f t="shared" si="14"/>
        <v>0</v>
      </c>
      <c r="P114" s="151">
        <f t="shared" si="14"/>
        <v>0</v>
      </c>
      <c r="Q114" s="151">
        <f t="shared" si="14"/>
        <v>0</v>
      </c>
      <c r="R114" s="151">
        <f t="shared" si="14"/>
        <v>345</v>
      </c>
      <c r="S114" s="151">
        <f t="shared" si="14"/>
        <v>745</v>
      </c>
      <c r="T114" s="151">
        <f t="shared" si="14"/>
        <v>0</v>
      </c>
      <c r="U114" s="153">
        <f t="shared" si="14"/>
        <v>0</v>
      </c>
    </row>
    <row r="115" spans="1:21" ht="15" thickBot="1">
      <c r="A115" s="35"/>
      <c r="B115" s="36"/>
      <c r="C115" s="37"/>
      <c r="D115" s="38"/>
      <c r="E115" s="39" t="s">
        <v>44</v>
      </c>
      <c r="F115" s="39"/>
      <c r="G115" s="39"/>
      <c r="H115" s="40"/>
      <c r="I115" s="154"/>
      <c r="J115" s="152"/>
      <c r="K115" s="152"/>
      <c r="L115" s="152"/>
      <c r="M115" s="152"/>
      <c r="N115" s="154"/>
      <c r="O115" s="152"/>
      <c r="P115" s="152"/>
      <c r="Q115" s="152"/>
      <c r="R115" s="152"/>
      <c r="S115" s="152"/>
      <c r="T115" s="152"/>
      <c r="U115" s="154"/>
    </row>
    <row r="116" spans="1:21">
      <c r="A116" s="41"/>
      <c r="B116" s="41"/>
      <c r="C116" s="41"/>
      <c r="D116" s="42">
        <v>111</v>
      </c>
      <c r="E116" s="155" t="s">
        <v>45</v>
      </c>
      <c r="F116" s="156"/>
      <c r="G116" s="156"/>
      <c r="H116" s="157"/>
      <c r="I116" s="68">
        <f>SUM(J116:U116)</f>
        <v>1000</v>
      </c>
      <c r="J116" s="43"/>
      <c r="K116" s="43"/>
      <c r="L116" s="43"/>
      <c r="M116" s="43"/>
      <c r="N116" s="44"/>
      <c r="O116" s="43"/>
      <c r="P116" s="43"/>
      <c r="Q116" s="43"/>
      <c r="R116" s="44">
        <v>300</v>
      </c>
      <c r="S116" s="43">
        <v>700</v>
      </c>
      <c r="T116" s="43"/>
      <c r="U116" s="43"/>
    </row>
    <row r="117" spans="1:21" hidden="1">
      <c r="A117" s="41"/>
      <c r="B117" s="41"/>
      <c r="C117" s="41"/>
      <c r="D117" s="42">
        <v>113</v>
      </c>
      <c r="E117" s="158" t="s">
        <v>46</v>
      </c>
      <c r="F117" s="159"/>
      <c r="G117" s="159"/>
      <c r="H117" s="160"/>
      <c r="I117" s="68">
        <f>SUM(J117:U117)</f>
        <v>0</v>
      </c>
      <c r="J117" s="45"/>
      <c r="K117" s="45"/>
      <c r="L117" s="46"/>
      <c r="M117" s="46"/>
      <c r="N117" s="46"/>
      <c r="O117" s="45"/>
      <c r="P117" s="46"/>
      <c r="Q117" s="46"/>
      <c r="R117" s="46"/>
      <c r="S117" s="45"/>
      <c r="T117" s="46"/>
      <c r="U117" s="46"/>
    </row>
    <row r="118" spans="1:21">
      <c r="A118" s="42"/>
      <c r="B118" s="42"/>
      <c r="C118" s="42"/>
      <c r="D118" s="42">
        <v>121</v>
      </c>
      <c r="E118" s="158" t="s">
        <v>47</v>
      </c>
      <c r="F118" s="159"/>
      <c r="G118" s="159"/>
      <c r="H118" s="160"/>
      <c r="I118" s="85">
        <f>SUM(J118:U118)</f>
        <v>54</v>
      </c>
      <c r="J118" s="45"/>
      <c r="K118" s="45"/>
      <c r="L118" s="45"/>
      <c r="M118" s="45"/>
      <c r="N118" s="46"/>
      <c r="O118" s="46"/>
      <c r="P118" s="45"/>
      <c r="Q118" s="45"/>
      <c r="R118" s="46">
        <v>27</v>
      </c>
      <c r="S118" s="46">
        <v>27</v>
      </c>
      <c r="T118" s="45"/>
      <c r="U118" s="45"/>
    </row>
    <row r="119" spans="1:21">
      <c r="A119" s="47"/>
      <c r="B119" s="47"/>
      <c r="C119" s="47"/>
      <c r="D119" s="47">
        <v>122</v>
      </c>
      <c r="E119" s="161" t="s">
        <v>48</v>
      </c>
      <c r="F119" s="162"/>
      <c r="G119" s="162"/>
      <c r="H119" s="163"/>
      <c r="I119" s="68"/>
      <c r="J119" s="48"/>
      <c r="K119" s="49"/>
      <c r="L119" s="50"/>
      <c r="M119" s="50"/>
      <c r="N119" s="50"/>
      <c r="O119" s="50"/>
      <c r="P119" s="50"/>
      <c r="Q119" s="50"/>
      <c r="R119" s="50"/>
      <c r="S119" s="50"/>
      <c r="T119" s="50"/>
      <c r="U119" s="50"/>
    </row>
    <row r="120" spans="1:21">
      <c r="A120" s="51"/>
      <c r="B120" s="51"/>
      <c r="C120" s="51"/>
      <c r="D120" s="51"/>
      <c r="E120" s="144" t="s">
        <v>49</v>
      </c>
      <c r="F120" s="145"/>
      <c r="G120" s="145"/>
      <c r="H120" s="146"/>
      <c r="I120" s="69">
        <f>SUM(J120:U120)</f>
        <v>36</v>
      </c>
      <c r="J120" s="45"/>
      <c r="K120" s="45"/>
      <c r="L120" s="45"/>
      <c r="M120" s="45"/>
      <c r="N120" s="46"/>
      <c r="O120" s="46"/>
      <c r="P120" s="45"/>
      <c r="Q120" s="45"/>
      <c r="R120" s="46">
        <v>18</v>
      </c>
      <c r="S120" s="46">
        <v>18</v>
      </c>
      <c r="T120" s="45"/>
      <c r="U120" s="45"/>
    </row>
    <row r="121" spans="1:21">
      <c r="A121" s="42"/>
      <c r="B121" s="42"/>
      <c r="C121" s="42"/>
      <c r="D121" s="42">
        <v>124</v>
      </c>
      <c r="E121" s="147" t="s">
        <v>51</v>
      </c>
      <c r="F121" s="148"/>
      <c r="G121" s="148"/>
      <c r="H121" s="149"/>
      <c r="I121" s="85">
        <f>SUM(J121:U121)</f>
        <v>16</v>
      </c>
      <c r="J121" s="52"/>
      <c r="K121" s="52"/>
      <c r="L121" s="52"/>
      <c r="M121" s="52"/>
      <c r="N121" s="53"/>
      <c r="O121" s="53"/>
      <c r="P121" s="52"/>
      <c r="Q121" s="52"/>
      <c r="R121" s="53">
        <v>8</v>
      </c>
      <c r="S121" s="53">
        <v>8</v>
      </c>
      <c r="T121" s="52"/>
      <c r="U121" s="52"/>
    </row>
    <row r="122" spans="1:21">
      <c r="A122" s="42"/>
      <c r="B122" s="42"/>
      <c r="C122" s="42"/>
      <c r="D122" s="70"/>
      <c r="E122" s="150" t="s">
        <v>63</v>
      </c>
      <c r="F122" s="150"/>
      <c r="G122" s="150"/>
      <c r="H122" s="150"/>
      <c r="I122" s="71">
        <f>SUM(I116:I121)</f>
        <v>1106</v>
      </c>
      <c r="J122" s="68">
        <f t="shared" ref="J122:U122" si="15">SUM(J116:J121)</f>
        <v>0</v>
      </c>
      <c r="K122" s="68">
        <f t="shared" si="15"/>
        <v>0</v>
      </c>
      <c r="L122" s="68">
        <f t="shared" si="15"/>
        <v>0</v>
      </c>
      <c r="M122" s="68">
        <f t="shared" si="15"/>
        <v>0</v>
      </c>
      <c r="N122" s="71">
        <f t="shared" si="15"/>
        <v>0</v>
      </c>
      <c r="O122" s="68">
        <f t="shared" si="15"/>
        <v>0</v>
      </c>
      <c r="P122" s="68">
        <f t="shared" si="15"/>
        <v>0</v>
      </c>
      <c r="Q122" s="68">
        <f t="shared" si="15"/>
        <v>0</v>
      </c>
      <c r="R122" s="68">
        <f t="shared" si="15"/>
        <v>353</v>
      </c>
      <c r="S122" s="71">
        <f t="shared" si="15"/>
        <v>753</v>
      </c>
      <c r="T122" s="68">
        <f t="shared" si="15"/>
        <v>0</v>
      </c>
      <c r="U122" s="71">
        <f t="shared" si="15"/>
        <v>0</v>
      </c>
    </row>
    <row r="123" spans="1:21">
      <c r="A123" s="42"/>
      <c r="B123" s="42"/>
      <c r="C123" s="42"/>
      <c r="D123" s="70"/>
      <c r="E123" s="150" t="s">
        <v>64</v>
      </c>
      <c r="F123" s="150"/>
      <c r="G123" s="150"/>
      <c r="H123" s="150"/>
      <c r="I123" s="68">
        <f>I104+I113+I122</f>
        <v>56668</v>
      </c>
      <c r="J123" s="68">
        <f t="shared" ref="J123:U123" si="16">J104+J113+J122</f>
        <v>3522</v>
      </c>
      <c r="K123" s="68">
        <f t="shared" si="16"/>
        <v>5500</v>
      </c>
      <c r="L123" s="68">
        <f t="shared" si="16"/>
        <v>5973</v>
      </c>
      <c r="M123" s="68">
        <f t="shared" si="16"/>
        <v>5414</v>
      </c>
      <c r="N123" s="68">
        <f t="shared" si="16"/>
        <v>6010</v>
      </c>
      <c r="O123" s="68">
        <f t="shared" si="16"/>
        <v>5114</v>
      </c>
      <c r="P123" s="68">
        <f t="shared" si="16"/>
        <v>3248</v>
      </c>
      <c r="Q123" s="68">
        <f t="shared" si="16"/>
        <v>3833</v>
      </c>
      <c r="R123" s="68">
        <f t="shared" si="16"/>
        <v>4037</v>
      </c>
      <c r="S123" s="68">
        <f t="shared" si="16"/>
        <v>4686</v>
      </c>
      <c r="T123" s="68">
        <f t="shared" si="16"/>
        <v>4929</v>
      </c>
      <c r="U123" s="68">
        <f t="shared" si="16"/>
        <v>4402</v>
      </c>
    </row>
    <row r="124" spans="1:21">
      <c r="A124" s="33"/>
      <c r="B124" s="33"/>
      <c r="C124" s="33"/>
      <c r="D124" s="72"/>
      <c r="E124" s="73"/>
      <c r="F124" s="73"/>
      <c r="G124" s="73"/>
      <c r="H124" s="73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6"/>
    </row>
    <row r="125" spans="1:21">
      <c r="A125" s="3" t="s">
        <v>65</v>
      </c>
      <c r="B125" s="3"/>
      <c r="C125" s="3"/>
      <c r="D125" s="3"/>
      <c r="E125" s="3"/>
      <c r="F125" s="3"/>
      <c r="G125" s="3"/>
      <c r="H125" s="3"/>
      <c r="I125" s="3"/>
      <c r="J125" s="27"/>
      <c r="K125" s="27"/>
      <c r="L125" s="27"/>
      <c r="M125" s="3"/>
      <c r="N125" s="27" t="s">
        <v>66</v>
      </c>
      <c r="O125" s="27"/>
      <c r="P125" s="27"/>
      <c r="Q125" s="25"/>
      <c r="R125" s="3"/>
      <c r="S125" s="3"/>
      <c r="T125" s="3"/>
      <c r="U125" s="3"/>
    </row>
    <row r="126" spans="1:21">
      <c r="A126" s="3" t="s">
        <v>67</v>
      </c>
      <c r="B126" s="3"/>
      <c r="C126" s="3"/>
      <c r="D126" s="3"/>
      <c r="E126" s="3"/>
      <c r="F126" s="3"/>
      <c r="G126" s="3"/>
      <c r="H126" s="3"/>
      <c r="I126" s="3"/>
      <c r="J126" s="25" t="s">
        <v>68</v>
      </c>
      <c r="K126" s="25"/>
      <c r="L126" s="25"/>
      <c r="M126" s="3"/>
      <c r="N126" s="25" t="s">
        <v>69</v>
      </c>
      <c r="O126" s="25"/>
      <c r="P126" s="25"/>
      <c r="Q126" s="25"/>
      <c r="R126" s="25"/>
      <c r="S126" s="3"/>
      <c r="T126" s="3"/>
      <c r="U126" s="3"/>
    </row>
    <row r="127" spans="1:21">
      <c r="A127" s="3" t="s">
        <v>70</v>
      </c>
      <c r="B127" s="3"/>
      <c r="C127" s="3"/>
      <c r="D127" s="3"/>
      <c r="E127" s="3"/>
      <c r="F127" s="3"/>
      <c r="G127" s="3"/>
      <c r="H127" s="3"/>
      <c r="I127" s="3"/>
      <c r="J127" s="27"/>
      <c r="K127" s="27"/>
      <c r="L127" s="27"/>
      <c r="M127" s="3"/>
      <c r="N127" s="27" t="s">
        <v>71</v>
      </c>
      <c r="O127" s="27"/>
      <c r="P127" s="27"/>
      <c r="Q127" s="25"/>
      <c r="R127" s="3"/>
      <c r="S127" s="3"/>
      <c r="T127" s="3"/>
      <c r="U127" s="3"/>
    </row>
    <row r="128" spans="1:21">
      <c r="A128" s="3" t="s">
        <v>72</v>
      </c>
      <c r="B128" s="3"/>
      <c r="C128" s="3"/>
      <c r="D128" s="3"/>
      <c r="E128" s="3"/>
      <c r="F128" s="3"/>
      <c r="G128" s="3"/>
      <c r="H128" s="3"/>
      <c r="I128" s="3"/>
      <c r="J128" s="25" t="s">
        <v>68</v>
      </c>
      <c r="K128" s="25"/>
      <c r="L128" s="25"/>
      <c r="M128" s="3"/>
      <c r="N128" s="25" t="s">
        <v>69</v>
      </c>
      <c r="O128" s="25"/>
      <c r="P128" s="25"/>
      <c r="Q128" s="25"/>
      <c r="R128" s="3"/>
      <c r="S128" s="3"/>
      <c r="T128" s="3"/>
      <c r="U128" s="3"/>
    </row>
    <row r="129" spans="1:2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205" t="s">
        <v>4</v>
      </c>
      <c r="M129" s="205"/>
      <c r="N129" s="205"/>
      <c r="O129" s="205"/>
      <c r="P129" s="205"/>
      <c r="Q129" s="205"/>
      <c r="R129" s="205"/>
      <c r="S129" s="205"/>
      <c r="T129" s="205"/>
      <c r="U129" s="205"/>
    </row>
    <row r="130" spans="1:2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205" t="s">
        <v>5</v>
      </c>
      <c r="M130" s="205"/>
      <c r="N130" s="205"/>
      <c r="O130" s="205"/>
      <c r="P130" s="205"/>
      <c r="Q130" s="205"/>
      <c r="R130" s="205"/>
      <c r="S130" s="205"/>
      <c r="T130" s="205"/>
      <c r="U130" s="205"/>
    </row>
    <row r="131" spans="1:2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205" t="s">
        <v>6</v>
      </c>
      <c r="M131" s="205"/>
      <c r="N131" s="205"/>
      <c r="O131" s="205"/>
      <c r="P131" s="205"/>
      <c r="Q131" s="205"/>
      <c r="R131" s="205"/>
      <c r="S131" s="205"/>
      <c r="T131" s="205"/>
      <c r="U131" s="205"/>
    </row>
    <row r="132" spans="1:2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5"/>
      <c r="M132" s="5"/>
      <c r="N132" s="5"/>
      <c r="O132" s="5"/>
      <c r="P132" s="206"/>
      <c r="Q132" s="206"/>
      <c r="R132" s="206"/>
      <c r="S132" s="207" t="s">
        <v>7</v>
      </c>
      <c r="T132" s="207"/>
      <c r="U132" s="207"/>
    </row>
    <row r="133" spans="1:2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5"/>
      <c r="M133" s="5"/>
      <c r="N133" s="5"/>
      <c r="O133" s="5"/>
      <c r="P133" s="177" t="s">
        <v>8</v>
      </c>
      <c r="Q133" s="177"/>
      <c r="R133" s="177"/>
      <c r="S133" s="178" t="s">
        <v>9</v>
      </c>
      <c r="T133" s="178"/>
      <c r="U133" s="5"/>
    </row>
    <row r="134" spans="1:2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5"/>
      <c r="M134" s="5"/>
      <c r="N134" s="5"/>
      <c r="O134" s="5"/>
      <c r="P134" s="179" t="s">
        <v>79</v>
      </c>
      <c r="Q134" s="179"/>
      <c r="R134" s="179"/>
      <c r="S134" s="6"/>
      <c r="T134" s="6"/>
      <c r="U134" s="6"/>
    </row>
    <row r="135" spans="1:21">
      <c r="A135" s="7"/>
      <c r="B135" s="8"/>
      <c r="C135" s="8"/>
      <c r="D135" s="8"/>
      <c r="E135" s="8" t="s">
        <v>10</v>
      </c>
      <c r="F135" s="8"/>
      <c r="G135" s="9"/>
      <c r="H135" s="7"/>
      <c r="I135" s="7"/>
      <c r="J135" s="7"/>
      <c r="K135" s="7"/>
      <c r="L135" s="7"/>
      <c r="M135" s="7"/>
      <c r="N135" s="7"/>
      <c r="O135" s="7"/>
      <c r="P135" s="10" t="s">
        <v>11</v>
      </c>
      <c r="Q135" s="10"/>
      <c r="R135" s="10"/>
      <c r="S135" s="7"/>
      <c r="T135" s="7"/>
      <c r="U135" s="7"/>
    </row>
    <row r="136" spans="1:21">
      <c r="A136" s="11" t="s">
        <v>12</v>
      </c>
      <c r="B136" s="11"/>
      <c r="C136" s="11"/>
      <c r="D136" s="12" t="s">
        <v>13</v>
      </c>
      <c r="E136" s="11" t="s">
        <v>14</v>
      </c>
      <c r="F136" s="13"/>
      <c r="G136" s="13"/>
      <c r="H136" s="13"/>
      <c r="I136" s="13"/>
      <c r="J136" s="13"/>
      <c r="K136" s="13"/>
      <c r="L136" s="13"/>
      <c r="M136" s="13"/>
      <c r="N136" s="14"/>
      <c r="O136" s="14"/>
      <c r="P136" s="14"/>
      <c r="Q136" s="13"/>
      <c r="R136" s="13"/>
      <c r="S136" s="13"/>
      <c r="T136" s="13"/>
      <c r="U136" s="13"/>
    </row>
    <row r="137" spans="1:21">
      <c r="A137" s="11" t="s">
        <v>15</v>
      </c>
      <c r="B137" s="15"/>
      <c r="C137" s="15"/>
      <c r="D137" s="15"/>
      <c r="E137" s="16" t="s">
        <v>73</v>
      </c>
      <c r="F137" s="13"/>
      <c r="G137" s="13"/>
      <c r="H137" s="13"/>
      <c r="I137" s="13"/>
      <c r="J137" s="13"/>
      <c r="K137" s="13"/>
      <c r="L137" s="13"/>
      <c r="M137" s="13"/>
      <c r="N137" s="14"/>
      <c r="O137" s="14"/>
      <c r="P137" s="14"/>
      <c r="Q137" s="13"/>
      <c r="R137" s="13"/>
      <c r="S137" s="13"/>
      <c r="T137" s="13"/>
      <c r="U137" s="13"/>
    </row>
    <row r="138" spans="1:21">
      <c r="A138" s="11" t="s">
        <v>16</v>
      </c>
      <c r="B138" s="11"/>
      <c r="C138" s="11"/>
      <c r="D138" s="11"/>
      <c r="E138" s="11" t="s">
        <v>17</v>
      </c>
      <c r="F138" s="17"/>
      <c r="G138" s="17"/>
      <c r="H138" s="17"/>
      <c r="I138" s="17"/>
      <c r="J138" s="17"/>
      <c r="K138" s="13"/>
      <c r="L138" s="13"/>
      <c r="M138" s="13"/>
      <c r="N138" s="14"/>
      <c r="O138" s="14"/>
      <c r="P138" s="14"/>
      <c r="Q138" s="13"/>
      <c r="R138" s="13"/>
      <c r="S138" s="13"/>
      <c r="T138" s="13"/>
      <c r="U138" s="13"/>
    </row>
    <row r="139" spans="1:21">
      <c r="A139" s="11" t="s">
        <v>18</v>
      </c>
      <c r="B139" s="11"/>
      <c r="C139" s="11"/>
      <c r="D139" s="11"/>
      <c r="E139" s="11"/>
      <c r="F139" s="18" t="s">
        <v>19</v>
      </c>
      <c r="G139" s="18"/>
      <c r="H139" s="14"/>
      <c r="I139" s="19"/>
      <c r="J139" s="14"/>
      <c r="K139" s="17"/>
      <c r="L139" s="17"/>
      <c r="M139" s="13"/>
      <c r="N139" s="14"/>
      <c r="O139" s="14"/>
      <c r="P139" s="14"/>
      <c r="Q139" s="20"/>
      <c r="R139" s="13"/>
      <c r="S139" s="13"/>
      <c r="T139" s="13"/>
      <c r="U139" s="13"/>
    </row>
    <row r="140" spans="1:21" ht="15" thickBot="1">
      <c r="A140" s="21" t="s">
        <v>20</v>
      </c>
      <c r="B140" s="21"/>
      <c r="C140" s="21"/>
      <c r="D140" s="21"/>
      <c r="E140" s="21"/>
      <c r="F140" s="22" t="s">
        <v>21</v>
      </c>
      <c r="G140" s="22"/>
      <c r="H140" s="14"/>
      <c r="I140" s="19"/>
      <c r="J140" s="14"/>
      <c r="K140" s="14"/>
      <c r="L140" s="14"/>
      <c r="M140" s="19"/>
      <c r="N140" s="180"/>
      <c r="O140" s="180"/>
      <c r="P140" s="180"/>
      <c r="Q140" s="180"/>
      <c r="R140" s="13"/>
      <c r="S140" s="13"/>
      <c r="T140" s="13"/>
      <c r="U140" s="13"/>
    </row>
    <row r="141" spans="1:21">
      <c r="A141" s="181" t="s">
        <v>22</v>
      </c>
      <c r="B141" s="184" t="s">
        <v>23</v>
      </c>
      <c r="C141" s="184" t="s">
        <v>24</v>
      </c>
      <c r="D141" s="187" t="s">
        <v>25</v>
      </c>
      <c r="E141" s="23"/>
      <c r="F141" s="23"/>
      <c r="G141" s="23"/>
      <c r="H141" s="24"/>
      <c r="I141" s="190" t="s">
        <v>74</v>
      </c>
      <c r="J141" s="193" t="s">
        <v>26</v>
      </c>
      <c r="K141" s="194"/>
      <c r="L141" s="194"/>
      <c r="M141" s="194"/>
      <c r="N141" s="194"/>
      <c r="O141" s="194"/>
      <c r="P141" s="194"/>
      <c r="Q141" s="194"/>
      <c r="R141" s="194"/>
      <c r="S141" s="194"/>
      <c r="T141" s="194"/>
      <c r="U141" s="195"/>
    </row>
    <row r="142" spans="1:21">
      <c r="A142" s="182"/>
      <c r="B142" s="185"/>
      <c r="C142" s="185"/>
      <c r="D142" s="188"/>
      <c r="E142" s="25"/>
      <c r="F142" s="25" t="s">
        <v>27</v>
      </c>
      <c r="G142" s="25"/>
      <c r="H142" s="26"/>
      <c r="I142" s="191"/>
      <c r="J142" s="196" t="s">
        <v>28</v>
      </c>
      <c r="K142" s="196" t="s">
        <v>29</v>
      </c>
      <c r="L142" s="199" t="s">
        <v>30</v>
      </c>
      <c r="M142" s="196" t="s">
        <v>31</v>
      </c>
      <c r="N142" s="199" t="s">
        <v>32</v>
      </c>
      <c r="O142" s="196" t="s">
        <v>33</v>
      </c>
      <c r="P142" s="196" t="s">
        <v>34</v>
      </c>
      <c r="Q142" s="196" t="s">
        <v>35</v>
      </c>
      <c r="R142" s="196" t="s">
        <v>36</v>
      </c>
      <c r="S142" s="196" t="s">
        <v>37</v>
      </c>
      <c r="T142" s="196" t="s">
        <v>38</v>
      </c>
      <c r="U142" s="202" t="s">
        <v>39</v>
      </c>
    </row>
    <row r="143" spans="1:21">
      <c r="A143" s="182"/>
      <c r="B143" s="185"/>
      <c r="C143" s="185"/>
      <c r="D143" s="188"/>
      <c r="E143" s="25"/>
      <c r="F143" s="25"/>
      <c r="G143" s="25"/>
      <c r="H143" s="26"/>
      <c r="I143" s="191"/>
      <c r="J143" s="197"/>
      <c r="K143" s="197"/>
      <c r="L143" s="200"/>
      <c r="M143" s="197"/>
      <c r="N143" s="200"/>
      <c r="O143" s="197"/>
      <c r="P143" s="197"/>
      <c r="Q143" s="197"/>
      <c r="R143" s="197"/>
      <c r="S143" s="197"/>
      <c r="T143" s="197"/>
      <c r="U143" s="203"/>
    </row>
    <row r="144" spans="1:21">
      <c r="A144" s="183"/>
      <c r="B144" s="186"/>
      <c r="C144" s="186"/>
      <c r="D144" s="189"/>
      <c r="E144" s="27"/>
      <c r="F144" s="27"/>
      <c r="G144" s="27"/>
      <c r="H144" s="28"/>
      <c r="I144" s="192"/>
      <c r="J144" s="198"/>
      <c r="K144" s="198"/>
      <c r="L144" s="201"/>
      <c r="M144" s="198"/>
      <c r="N144" s="201"/>
      <c r="O144" s="198"/>
      <c r="P144" s="198"/>
      <c r="Q144" s="198"/>
      <c r="R144" s="198"/>
      <c r="S144" s="198"/>
      <c r="T144" s="198"/>
      <c r="U144" s="204"/>
    </row>
    <row r="145" spans="1:21" ht="14.55" customHeight="1">
      <c r="A145" s="29" t="s">
        <v>40</v>
      </c>
      <c r="B145" s="30" t="s">
        <v>41</v>
      </c>
      <c r="C145" s="31" t="s">
        <v>42</v>
      </c>
      <c r="D145" s="32"/>
      <c r="E145" s="33" t="s">
        <v>43</v>
      </c>
      <c r="F145" s="33"/>
      <c r="G145" s="33"/>
      <c r="H145" s="34"/>
      <c r="I145" s="173">
        <f>SUM(J145:U146)</f>
        <v>52062</v>
      </c>
      <c r="J145" s="173">
        <f>SUM(J147:J162)</f>
        <v>3522</v>
      </c>
      <c r="K145" s="173">
        <f t="shared" ref="K145:U145" si="17">SUM(K147:K162)</f>
        <v>4576</v>
      </c>
      <c r="L145" s="176">
        <f t="shared" si="17"/>
        <v>2635</v>
      </c>
      <c r="M145" s="173">
        <f t="shared" si="17"/>
        <v>7926</v>
      </c>
      <c r="N145" s="176">
        <f t="shared" si="17"/>
        <v>6010</v>
      </c>
      <c r="O145" s="173">
        <f t="shared" si="17"/>
        <v>5114</v>
      </c>
      <c r="P145" s="173">
        <f t="shared" si="17"/>
        <v>3248</v>
      </c>
      <c r="Q145" s="173">
        <f t="shared" si="17"/>
        <v>3833</v>
      </c>
      <c r="R145" s="173">
        <f t="shared" si="17"/>
        <v>3684</v>
      </c>
      <c r="S145" s="173">
        <f t="shared" si="17"/>
        <v>3933</v>
      </c>
      <c r="T145" s="173">
        <f t="shared" si="17"/>
        <v>4054</v>
      </c>
      <c r="U145" s="174">
        <f t="shared" si="17"/>
        <v>3527</v>
      </c>
    </row>
    <row r="146" spans="1:21" ht="14.55" customHeight="1" thickBot="1">
      <c r="A146" s="35"/>
      <c r="B146" s="36"/>
      <c r="C146" s="37"/>
      <c r="D146" s="38"/>
      <c r="E146" s="39" t="s">
        <v>44</v>
      </c>
      <c r="F146" s="39"/>
      <c r="G146" s="39"/>
      <c r="H146" s="40"/>
      <c r="I146" s="152"/>
      <c r="J146" s="152"/>
      <c r="K146" s="152"/>
      <c r="L146" s="154"/>
      <c r="M146" s="152"/>
      <c r="N146" s="154"/>
      <c r="O146" s="152"/>
      <c r="P146" s="152"/>
      <c r="Q146" s="152"/>
      <c r="R146" s="152"/>
      <c r="S146" s="152"/>
      <c r="T146" s="152"/>
      <c r="U146" s="175"/>
    </row>
    <row r="147" spans="1:21">
      <c r="A147" s="41"/>
      <c r="B147" s="41"/>
      <c r="C147" s="41"/>
      <c r="D147" s="42">
        <v>111</v>
      </c>
      <c r="E147" s="155" t="s">
        <v>45</v>
      </c>
      <c r="F147" s="156"/>
      <c r="G147" s="156"/>
      <c r="H147" s="157"/>
      <c r="I147" s="71">
        <f>SUM(J147:U147)</f>
        <v>38088</v>
      </c>
      <c r="J147" s="43">
        <v>3174</v>
      </c>
      <c r="K147" s="44">
        <f>3174-910</f>
        <v>2264</v>
      </c>
      <c r="L147" s="43">
        <v>2150</v>
      </c>
      <c r="M147" s="43">
        <f>3174+58+1819</f>
        <v>5051</v>
      </c>
      <c r="N147" s="43">
        <f>4000+12</f>
        <v>4012</v>
      </c>
      <c r="O147" s="43">
        <f>3500+12</f>
        <v>3512</v>
      </c>
      <c r="P147" s="43">
        <v>2034</v>
      </c>
      <c r="Q147" s="43">
        <v>3186</v>
      </c>
      <c r="R147" s="43">
        <v>3183</v>
      </c>
      <c r="S147" s="43">
        <v>3174</v>
      </c>
      <c r="T147" s="43">
        <v>3174</v>
      </c>
      <c r="U147" s="43">
        <v>3174</v>
      </c>
    </row>
    <row r="148" spans="1:21">
      <c r="A148" s="41"/>
      <c r="B148" s="41"/>
      <c r="C148" s="41"/>
      <c r="D148" s="42">
        <v>113</v>
      </c>
      <c r="E148" s="158" t="s">
        <v>46</v>
      </c>
      <c r="F148" s="159"/>
      <c r="G148" s="159"/>
      <c r="H148" s="160"/>
      <c r="I148" s="71">
        <f>SUM(J148:U148)</f>
        <v>2620</v>
      </c>
      <c r="J148" s="45"/>
      <c r="K148" s="46"/>
      <c r="L148" s="46"/>
      <c r="M148" s="45"/>
      <c r="N148" s="46">
        <v>863</v>
      </c>
      <c r="O148" s="46">
        <v>800</v>
      </c>
      <c r="P148" s="46">
        <v>837</v>
      </c>
      <c r="Q148" s="46">
        <v>120</v>
      </c>
      <c r="R148" s="46"/>
      <c r="S148" s="46"/>
      <c r="T148" s="46"/>
      <c r="U148" s="46"/>
    </row>
    <row r="149" spans="1:21">
      <c r="A149" s="42"/>
      <c r="B149" s="42"/>
      <c r="C149" s="42"/>
      <c r="D149" s="42">
        <v>121</v>
      </c>
      <c r="E149" s="158" t="s">
        <v>47</v>
      </c>
      <c r="F149" s="159"/>
      <c r="G149" s="159"/>
      <c r="H149" s="160"/>
      <c r="I149" s="94">
        <f>SUM(J149:U149)</f>
        <v>2063</v>
      </c>
      <c r="J149" s="45">
        <v>172</v>
      </c>
      <c r="K149" s="46">
        <f>172-44</f>
        <v>128</v>
      </c>
      <c r="L149" s="45">
        <v>95</v>
      </c>
      <c r="M149" s="45">
        <v>293</v>
      </c>
      <c r="N149" s="45">
        <v>216</v>
      </c>
      <c r="O149" s="45">
        <v>189</v>
      </c>
      <c r="P149" s="45">
        <v>110</v>
      </c>
      <c r="Q149" s="45">
        <v>172</v>
      </c>
      <c r="R149" s="45">
        <v>172</v>
      </c>
      <c r="S149" s="45">
        <v>172</v>
      </c>
      <c r="T149" s="45">
        <v>172</v>
      </c>
      <c r="U149" s="45">
        <v>172</v>
      </c>
    </row>
    <row r="150" spans="1:21">
      <c r="A150" s="47"/>
      <c r="B150" s="47"/>
      <c r="C150" s="47"/>
      <c r="D150" s="47">
        <v>122</v>
      </c>
      <c r="E150" s="161" t="s">
        <v>48</v>
      </c>
      <c r="F150" s="162"/>
      <c r="G150" s="162"/>
      <c r="H150" s="163"/>
      <c r="I150" s="94"/>
      <c r="J150" s="48"/>
      <c r="K150" s="50"/>
      <c r="L150" s="50"/>
      <c r="M150" s="49"/>
      <c r="N150" s="50"/>
      <c r="O150" s="50"/>
      <c r="P150" s="50"/>
      <c r="Q150" s="50"/>
      <c r="R150" s="50"/>
      <c r="S150" s="50"/>
      <c r="T150" s="50"/>
      <c r="U150" s="50"/>
    </row>
    <row r="151" spans="1:21">
      <c r="A151" s="51"/>
      <c r="B151" s="51"/>
      <c r="C151" s="51"/>
      <c r="D151" s="51"/>
      <c r="E151" s="144" t="s">
        <v>49</v>
      </c>
      <c r="F151" s="145"/>
      <c r="G151" s="145"/>
      <c r="H151" s="146"/>
      <c r="I151" s="75">
        <f>SUM(J151:U151)</f>
        <v>1201</v>
      </c>
      <c r="J151" s="45">
        <v>100</v>
      </c>
      <c r="K151" s="46">
        <f>100-22</f>
        <v>78</v>
      </c>
      <c r="L151" s="45">
        <v>61</v>
      </c>
      <c r="M151" s="45">
        <v>161</v>
      </c>
      <c r="N151" s="45">
        <v>126</v>
      </c>
      <c r="O151" s="45">
        <v>111</v>
      </c>
      <c r="P151" s="45">
        <v>64</v>
      </c>
      <c r="Q151" s="45">
        <v>100</v>
      </c>
      <c r="R151" s="45">
        <v>100</v>
      </c>
      <c r="S151" s="45">
        <v>100</v>
      </c>
      <c r="T151" s="45">
        <v>100</v>
      </c>
      <c r="U151" s="45">
        <v>100</v>
      </c>
    </row>
    <row r="152" spans="1:21">
      <c r="A152" s="42"/>
      <c r="B152" s="42"/>
      <c r="C152" s="42"/>
      <c r="D152" s="42">
        <v>123</v>
      </c>
      <c r="E152" s="161" t="s">
        <v>50</v>
      </c>
      <c r="F152" s="162"/>
      <c r="G152" s="162"/>
      <c r="H152" s="163"/>
      <c r="I152" s="94">
        <f>J152+K152+L152+M152+N152+O152+P152+Q152+R152+S152+T152+U152</f>
        <v>18</v>
      </c>
      <c r="J152" s="45"/>
      <c r="K152" s="46"/>
      <c r="L152" s="46"/>
      <c r="M152" s="45">
        <v>18</v>
      </c>
      <c r="N152" s="46"/>
      <c r="O152" s="46"/>
      <c r="P152" s="46"/>
      <c r="Q152" s="46"/>
      <c r="R152" s="46"/>
      <c r="S152" s="46"/>
      <c r="T152" s="46"/>
      <c r="U152" s="46"/>
    </row>
    <row r="153" spans="1:21">
      <c r="A153" s="51"/>
      <c r="B153" s="51"/>
      <c r="C153" s="51"/>
      <c r="D153" s="51">
        <v>124</v>
      </c>
      <c r="E153" s="147" t="s">
        <v>51</v>
      </c>
      <c r="F153" s="148"/>
      <c r="G153" s="148"/>
      <c r="H153" s="149"/>
      <c r="I153" s="71">
        <f>SUM(J153:U153)</f>
        <v>757</v>
      </c>
      <c r="J153" s="53">
        <v>63</v>
      </c>
      <c r="K153" s="53">
        <f>63-20</f>
        <v>43</v>
      </c>
      <c r="L153" s="53">
        <v>32</v>
      </c>
      <c r="M153" s="53">
        <v>114</v>
      </c>
      <c r="N153" s="53">
        <v>80</v>
      </c>
      <c r="O153" s="53">
        <v>70</v>
      </c>
      <c r="P153" s="53">
        <v>40</v>
      </c>
      <c r="Q153" s="53">
        <v>63</v>
      </c>
      <c r="R153" s="53">
        <v>63</v>
      </c>
      <c r="S153" s="53">
        <v>63</v>
      </c>
      <c r="T153" s="53">
        <v>63</v>
      </c>
      <c r="U153" s="53">
        <v>63</v>
      </c>
    </row>
    <row r="154" spans="1:21">
      <c r="A154" s="42"/>
      <c r="B154" s="42"/>
      <c r="C154" s="42"/>
      <c r="D154" s="42">
        <v>142</v>
      </c>
      <c r="E154" s="54" t="s">
        <v>52</v>
      </c>
      <c r="F154" s="54"/>
      <c r="G154" s="54"/>
      <c r="H154" s="54"/>
      <c r="I154" s="71">
        <f>J154+K154+L154+M154+N154+O154+P154+Q154+R154+S154+T154+U154</f>
        <v>80</v>
      </c>
      <c r="J154" s="45"/>
      <c r="K154" s="46">
        <v>80</v>
      </c>
      <c r="L154" s="46"/>
      <c r="M154" s="45"/>
      <c r="N154" s="46"/>
      <c r="O154" s="46"/>
      <c r="P154" s="46"/>
      <c r="Q154" s="46"/>
      <c r="R154" s="46"/>
      <c r="S154" s="46"/>
      <c r="T154" s="46"/>
      <c r="U154" s="46"/>
    </row>
    <row r="155" spans="1:21">
      <c r="A155" s="41"/>
      <c r="B155" s="41"/>
      <c r="C155" s="41"/>
      <c r="D155" s="41">
        <v>143</v>
      </c>
      <c r="E155" s="164" t="s">
        <v>53</v>
      </c>
      <c r="F155" s="165"/>
      <c r="G155" s="165"/>
      <c r="H155" s="166"/>
      <c r="I155" s="75">
        <f>SUM(J155:U155)</f>
        <v>0</v>
      </c>
      <c r="J155" s="55"/>
      <c r="K155" s="44"/>
      <c r="L155" s="44"/>
      <c r="M155" s="43"/>
      <c r="N155" s="44"/>
      <c r="O155" s="44"/>
      <c r="P155" s="44"/>
      <c r="Q155" s="44"/>
      <c r="R155" s="44"/>
      <c r="S155" s="44"/>
      <c r="T155" s="44"/>
      <c r="U155" s="44"/>
    </row>
    <row r="156" spans="1:21">
      <c r="A156" s="41"/>
      <c r="B156" s="41"/>
      <c r="C156" s="41"/>
      <c r="D156" s="41">
        <v>144</v>
      </c>
      <c r="E156" s="164" t="s">
        <v>54</v>
      </c>
      <c r="F156" s="165"/>
      <c r="G156" s="165"/>
      <c r="H156" s="166"/>
      <c r="I156" s="75">
        <f t="shared" ref="I156:I163" si="18">SUM(J156:U156)</f>
        <v>250</v>
      </c>
      <c r="J156" s="55"/>
      <c r="K156" s="44">
        <v>250</v>
      </c>
      <c r="L156" s="44"/>
      <c r="M156" s="43"/>
      <c r="N156" s="44"/>
      <c r="O156" s="44"/>
      <c r="P156" s="44"/>
      <c r="Q156" s="44"/>
      <c r="R156" s="44"/>
      <c r="S156" s="44"/>
      <c r="T156" s="44"/>
      <c r="U156" s="44"/>
    </row>
    <row r="157" spans="1:21">
      <c r="A157" s="80"/>
      <c r="B157" s="80"/>
      <c r="C157" s="80"/>
      <c r="D157" s="80">
        <v>149</v>
      </c>
      <c r="E157" s="81" t="s">
        <v>55</v>
      </c>
      <c r="F157" s="81"/>
      <c r="G157" s="81"/>
      <c r="H157" s="81"/>
      <c r="I157" s="71">
        <f t="shared" si="18"/>
        <v>1914</v>
      </c>
      <c r="J157" s="46"/>
      <c r="K157" s="46">
        <v>200</v>
      </c>
      <c r="L157" s="46">
        <v>100</v>
      </c>
      <c r="M157" s="46">
        <v>814</v>
      </c>
      <c r="N157" s="46">
        <v>500</v>
      </c>
      <c r="O157" s="46">
        <v>300</v>
      </c>
      <c r="P157" s="46"/>
      <c r="Q157" s="46"/>
      <c r="R157" s="46"/>
      <c r="S157" s="46"/>
      <c r="T157" s="46"/>
      <c r="U157" s="46"/>
    </row>
    <row r="158" spans="1:21">
      <c r="A158" s="80"/>
      <c r="B158" s="80"/>
      <c r="C158" s="80"/>
      <c r="D158" s="80">
        <v>151</v>
      </c>
      <c r="E158" s="81" t="s">
        <v>56</v>
      </c>
      <c r="F158" s="81"/>
      <c r="G158" s="81"/>
      <c r="H158" s="81"/>
      <c r="I158" s="71">
        <f t="shared" si="18"/>
        <v>3900</v>
      </c>
      <c r="J158" s="46"/>
      <c r="K158" s="46">
        <v>1300</v>
      </c>
      <c r="L158" s="46">
        <v>100</v>
      </c>
      <c r="M158" s="46">
        <v>850</v>
      </c>
      <c r="N158" s="46">
        <f>100+130-30</f>
        <v>200</v>
      </c>
      <c r="O158" s="46">
        <f>100+30-30</f>
        <v>100</v>
      </c>
      <c r="P158" s="46">
        <v>150</v>
      </c>
      <c r="Q158" s="46">
        <v>130</v>
      </c>
      <c r="R158" s="46">
        <v>150</v>
      </c>
      <c r="S158" s="46">
        <v>400</v>
      </c>
      <c r="T158" s="46">
        <v>520</v>
      </c>
      <c r="U158" s="46"/>
    </row>
    <row r="159" spans="1:21" ht="14.55" customHeight="1">
      <c r="A159" s="80"/>
      <c r="B159" s="80"/>
      <c r="C159" s="80"/>
      <c r="D159" s="80">
        <v>152</v>
      </c>
      <c r="E159" s="83" t="s">
        <v>57</v>
      </c>
      <c r="F159" s="81"/>
      <c r="G159" s="81"/>
      <c r="H159" s="84"/>
      <c r="I159" s="71">
        <f t="shared" si="18"/>
        <v>126</v>
      </c>
      <c r="J159" s="46"/>
      <c r="K159" s="46">
        <f>12+50</f>
        <v>62</v>
      </c>
      <c r="L159" s="46">
        <v>31</v>
      </c>
      <c r="M159" s="46">
        <v>0</v>
      </c>
      <c r="N159" s="46">
        <v>0</v>
      </c>
      <c r="O159" s="46">
        <v>0</v>
      </c>
      <c r="P159" s="46">
        <v>0</v>
      </c>
      <c r="Q159" s="46">
        <v>0</v>
      </c>
      <c r="R159" s="46">
        <v>3</v>
      </c>
      <c r="S159" s="46">
        <v>12</v>
      </c>
      <c r="T159" s="46">
        <v>12</v>
      </c>
      <c r="U159" s="46">
        <v>6</v>
      </c>
    </row>
    <row r="160" spans="1:21" ht="14.55" customHeight="1">
      <c r="A160" s="80"/>
      <c r="B160" s="80"/>
      <c r="C160" s="80"/>
      <c r="D160" s="80">
        <v>159</v>
      </c>
      <c r="E160" s="167" t="s">
        <v>58</v>
      </c>
      <c r="F160" s="168"/>
      <c r="G160" s="168"/>
      <c r="H160" s="169"/>
      <c r="I160" s="71">
        <f t="shared" si="18"/>
        <v>860</v>
      </c>
      <c r="J160" s="46">
        <v>13</v>
      </c>
      <c r="K160" s="46">
        <f>12+59</f>
        <v>71</v>
      </c>
      <c r="L160" s="46">
        <v>66</v>
      </c>
      <c r="M160" s="46">
        <v>610</v>
      </c>
      <c r="N160" s="46">
        <v>13</v>
      </c>
      <c r="O160" s="46">
        <v>12</v>
      </c>
      <c r="P160" s="46">
        <v>13</v>
      </c>
      <c r="Q160" s="46">
        <v>12</v>
      </c>
      <c r="R160" s="46">
        <v>13</v>
      </c>
      <c r="S160" s="46">
        <v>12</v>
      </c>
      <c r="T160" s="46">
        <v>13</v>
      </c>
      <c r="U160" s="46">
        <v>12</v>
      </c>
    </row>
    <row r="161" spans="1:21">
      <c r="A161" s="42"/>
      <c r="B161" s="42"/>
      <c r="C161" s="42"/>
      <c r="D161" s="42">
        <v>161</v>
      </c>
      <c r="E161" s="90" t="s">
        <v>59</v>
      </c>
      <c r="F161" s="91"/>
      <c r="G161" s="91"/>
      <c r="H161" s="92"/>
      <c r="I161" s="71">
        <f t="shared" si="18"/>
        <v>90</v>
      </c>
      <c r="J161" s="45"/>
      <c r="K161" s="46">
        <v>90</v>
      </c>
      <c r="L161" s="46"/>
      <c r="M161" s="45"/>
      <c r="N161" s="46"/>
      <c r="O161" s="46"/>
      <c r="P161" s="46"/>
      <c r="Q161" s="46"/>
      <c r="R161" s="46"/>
      <c r="S161" s="46"/>
      <c r="T161" s="46"/>
      <c r="U161" s="46"/>
    </row>
    <row r="162" spans="1:21">
      <c r="A162" s="42"/>
      <c r="B162" s="42"/>
      <c r="C162" s="42"/>
      <c r="D162" s="42">
        <v>169</v>
      </c>
      <c r="E162" s="158" t="s">
        <v>60</v>
      </c>
      <c r="F162" s="159"/>
      <c r="G162" s="159"/>
      <c r="H162" s="160"/>
      <c r="I162" s="71">
        <f t="shared" si="18"/>
        <v>95</v>
      </c>
      <c r="J162" s="45"/>
      <c r="K162" s="46">
        <v>10</v>
      </c>
      <c r="L162" s="46"/>
      <c r="M162" s="45">
        <v>15</v>
      </c>
      <c r="N162" s="46"/>
      <c r="O162" s="46">
        <v>20</v>
      </c>
      <c r="P162" s="46"/>
      <c r="Q162" s="46">
        <v>50</v>
      </c>
      <c r="R162" s="46"/>
      <c r="S162" s="46"/>
      <c r="T162" s="46"/>
      <c r="U162" s="46"/>
    </row>
    <row r="163" spans="1:21">
      <c r="A163" s="47"/>
      <c r="B163" s="47"/>
      <c r="C163" s="47"/>
      <c r="D163" s="47">
        <v>418</v>
      </c>
      <c r="E163" s="158" t="s">
        <v>75</v>
      </c>
      <c r="F163" s="159"/>
      <c r="G163" s="159"/>
      <c r="H163" s="160"/>
      <c r="I163" s="71">
        <f t="shared" si="18"/>
        <v>0</v>
      </c>
      <c r="J163" s="49"/>
      <c r="K163" s="49"/>
      <c r="L163" s="50"/>
      <c r="M163" s="49"/>
      <c r="N163" s="50"/>
      <c r="O163" s="50"/>
      <c r="P163" s="50"/>
      <c r="Q163" s="50"/>
      <c r="R163" s="50"/>
      <c r="S163" s="50"/>
      <c r="T163" s="50"/>
      <c r="U163" s="50"/>
    </row>
    <row r="164" spans="1:21" ht="15" thickBot="1">
      <c r="A164" s="47"/>
      <c r="B164" s="47"/>
      <c r="C164" s="47"/>
      <c r="D164" s="59"/>
      <c r="E164" s="170" t="s">
        <v>61</v>
      </c>
      <c r="F164" s="171"/>
      <c r="G164" s="171"/>
      <c r="H164" s="172"/>
      <c r="I164" s="94">
        <f>SUM(J164:U164)</f>
        <v>52062</v>
      </c>
      <c r="J164" s="93">
        <f>SUM(J147:J162)</f>
        <v>3522</v>
      </c>
      <c r="K164" s="93">
        <f>SUM(K147:K163)</f>
        <v>4576</v>
      </c>
      <c r="L164" s="94">
        <f t="shared" ref="L164" si="19">SUM(L147:L162)</f>
        <v>2635</v>
      </c>
      <c r="M164" s="94">
        <f>SUM(M147:M163)</f>
        <v>7926</v>
      </c>
      <c r="N164" s="94">
        <f>SUM(N147:N163)</f>
        <v>6010</v>
      </c>
      <c r="O164" s="93">
        <f t="shared" ref="O164:U164" si="20">SUM(O147:O162)</f>
        <v>5114</v>
      </c>
      <c r="P164" s="93">
        <f t="shared" si="20"/>
        <v>3248</v>
      </c>
      <c r="Q164" s="93">
        <f t="shared" si="20"/>
        <v>3833</v>
      </c>
      <c r="R164" s="93">
        <f t="shared" si="20"/>
        <v>3684</v>
      </c>
      <c r="S164" s="93">
        <f t="shared" si="20"/>
        <v>3933</v>
      </c>
      <c r="T164" s="93">
        <f t="shared" si="20"/>
        <v>4054</v>
      </c>
      <c r="U164" s="94">
        <f t="shared" si="20"/>
        <v>3527</v>
      </c>
    </row>
    <row r="165" spans="1:21">
      <c r="A165" s="62" t="s">
        <v>40</v>
      </c>
      <c r="B165" s="63" t="s">
        <v>41</v>
      </c>
      <c r="C165" s="64" t="s">
        <v>62</v>
      </c>
      <c r="D165" s="65"/>
      <c r="E165" s="66" t="s">
        <v>43</v>
      </c>
      <c r="F165" s="66"/>
      <c r="G165" s="66"/>
      <c r="H165" s="67"/>
      <c r="I165" s="153">
        <f>SUM(J165:U166)</f>
        <v>3500</v>
      </c>
      <c r="J165" s="151">
        <f>SUM(J167:J172)</f>
        <v>0</v>
      </c>
      <c r="K165" s="151">
        <f t="shared" ref="K165:U165" si="21">SUM(K167:K172)</f>
        <v>924</v>
      </c>
      <c r="L165" s="151">
        <f t="shared" si="21"/>
        <v>438</v>
      </c>
      <c r="M165" s="151">
        <f t="shared" si="21"/>
        <v>388</v>
      </c>
      <c r="N165" s="153">
        <f t="shared" si="21"/>
        <v>0</v>
      </c>
      <c r="O165" s="151">
        <f t="shared" si="21"/>
        <v>0</v>
      </c>
      <c r="P165" s="151">
        <f t="shared" si="21"/>
        <v>0</v>
      </c>
      <c r="Q165" s="151">
        <f t="shared" si="21"/>
        <v>0</v>
      </c>
      <c r="R165" s="151">
        <f t="shared" si="21"/>
        <v>0</v>
      </c>
      <c r="S165" s="151">
        <f t="shared" si="21"/>
        <v>0</v>
      </c>
      <c r="T165" s="151">
        <f t="shared" si="21"/>
        <v>875</v>
      </c>
      <c r="U165" s="153">
        <f t="shared" si="21"/>
        <v>875</v>
      </c>
    </row>
    <row r="166" spans="1:21" ht="15" thickBot="1">
      <c r="A166" s="35"/>
      <c r="B166" s="36"/>
      <c r="C166" s="37"/>
      <c r="D166" s="38"/>
      <c r="E166" s="39" t="s">
        <v>44</v>
      </c>
      <c r="F166" s="39"/>
      <c r="G166" s="39"/>
      <c r="H166" s="40"/>
      <c r="I166" s="154"/>
      <c r="J166" s="152"/>
      <c r="K166" s="152"/>
      <c r="L166" s="152"/>
      <c r="M166" s="152"/>
      <c r="N166" s="154"/>
      <c r="O166" s="152"/>
      <c r="P166" s="152"/>
      <c r="Q166" s="152"/>
      <c r="R166" s="152"/>
      <c r="S166" s="152"/>
      <c r="T166" s="152"/>
      <c r="U166" s="154"/>
    </row>
    <row r="167" spans="1:21">
      <c r="A167" s="41"/>
      <c r="B167" s="41"/>
      <c r="C167" s="41"/>
      <c r="D167" s="42">
        <v>111</v>
      </c>
      <c r="E167" s="155" t="s">
        <v>45</v>
      </c>
      <c r="F167" s="156"/>
      <c r="G167" s="156"/>
      <c r="H167" s="157"/>
      <c r="I167" s="68">
        <f>SUM(J167:U167)</f>
        <v>3176</v>
      </c>
      <c r="J167" s="43"/>
      <c r="K167" s="43">
        <v>800</v>
      </c>
      <c r="L167" s="43">
        <v>400</v>
      </c>
      <c r="M167" s="43">
        <v>388</v>
      </c>
      <c r="N167" s="44"/>
      <c r="O167" s="43"/>
      <c r="P167" s="43"/>
      <c r="Q167" s="43"/>
      <c r="R167" s="43">
        <v>0</v>
      </c>
      <c r="S167" s="43">
        <v>0</v>
      </c>
      <c r="T167" s="43">
        <v>794</v>
      </c>
      <c r="U167" s="43">
        <v>794</v>
      </c>
    </row>
    <row r="168" spans="1:21">
      <c r="A168" s="41"/>
      <c r="B168" s="41"/>
      <c r="C168" s="41"/>
      <c r="D168" s="42">
        <v>113</v>
      </c>
      <c r="E168" s="158" t="s">
        <v>46</v>
      </c>
      <c r="F168" s="159"/>
      <c r="G168" s="159"/>
      <c r="H168" s="160"/>
      <c r="I168" s="68">
        <f>SUM(J168:U168)</f>
        <v>0</v>
      </c>
      <c r="J168" s="45"/>
      <c r="K168" s="45"/>
      <c r="L168" s="46"/>
      <c r="M168" s="46"/>
      <c r="N168" s="46"/>
      <c r="O168" s="45"/>
      <c r="P168" s="46"/>
      <c r="Q168" s="46"/>
      <c r="R168" s="46"/>
      <c r="S168" s="46"/>
      <c r="T168" s="46"/>
      <c r="U168" s="46"/>
    </row>
    <row r="169" spans="1:21">
      <c r="A169" s="42"/>
      <c r="B169" s="42"/>
      <c r="C169" s="42"/>
      <c r="D169" s="42">
        <v>121</v>
      </c>
      <c r="E169" s="158" t="s">
        <v>47</v>
      </c>
      <c r="F169" s="159"/>
      <c r="G169" s="159"/>
      <c r="H169" s="160"/>
      <c r="I169" s="93">
        <f>SUM(J169:U169)</f>
        <v>172</v>
      </c>
      <c r="J169" s="45"/>
      <c r="K169" s="45">
        <v>60</v>
      </c>
      <c r="L169" s="45">
        <v>26</v>
      </c>
      <c r="M169" s="45"/>
      <c r="N169" s="46"/>
      <c r="O169" s="45"/>
      <c r="P169" s="45"/>
      <c r="Q169" s="45"/>
      <c r="R169" s="45">
        <v>0</v>
      </c>
      <c r="S169" s="45">
        <v>0</v>
      </c>
      <c r="T169" s="45">
        <v>43</v>
      </c>
      <c r="U169" s="45">
        <v>43</v>
      </c>
    </row>
    <row r="170" spans="1:21">
      <c r="A170" s="47"/>
      <c r="B170" s="47"/>
      <c r="C170" s="47"/>
      <c r="D170" s="47">
        <v>122</v>
      </c>
      <c r="E170" s="161" t="s">
        <v>48</v>
      </c>
      <c r="F170" s="162"/>
      <c r="G170" s="162"/>
      <c r="H170" s="163"/>
      <c r="I170" s="68"/>
      <c r="J170" s="48"/>
      <c r="K170" s="49"/>
      <c r="L170" s="50"/>
      <c r="M170" s="50"/>
      <c r="N170" s="50"/>
      <c r="O170" s="49"/>
      <c r="P170" s="50"/>
      <c r="Q170" s="50"/>
      <c r="R170" s="50"/>
      <c r="S170" s="50"/>
      <c r="T170" s="50"/>
      <c r="U170" s="50"/>
    </row>
    <row r="171" spans="1:21">
      <c r="A171" s="51"/>
      <c r="B171" s="51"/>
      <c r="C171" s="51"/>
      <c r="D171" s="51"/>
      <c r="E171" s="144" t="s">
        <v>49</v>
      </c>
      <c r="F171" s="145"/>
      <c r="G171" s="145"/>
      <c r="H171" s="146"/>
      <c r="I171" s="69">
        <f>SUM(J171:U171)</f>
        <v>104</v>
      </c>
      <c r="J171" s="45"/>
      <c r="K171" s="45">
        <v>40</v>
      </c>
      <c r="L171" s="45">
        <v>12</v>
      </c>
      <c r="M171" s="45"/>
      <c r="N171" s="46"/>
      <c r="O171" s="45"/>
      <c r="P171" s="45"/>
      <c r="Q171" s="45"/>
      <c r="R171" s="45">
        <v>0</v>
      </c>
      <c r="S171" s="45">
        <v>0</v>
      </c>
      <c r="T171" s="45">
        <v>26</v>
      </c>
      <c r="U171" s="45">
        <v>26</v>
      </c>
    </row>
    <row r="172" spans="1:21">
      <c r="A172" s="42"/>
      <c r="B172" s="42"/>
      <c r="C172" s="42"/>
      <c r="D172" s="42">
        <v>124</v>
      </c>
      <c r="E172" s="147" t="s">
        <v>51</v>
      </c>
      <c r="F172" s="148"/>
      <c r="G172" s="148"/>
      <c r="H172" s="149"/>
      <c r="I172" s="93">
        <f>SUM(J172:U172)</f>
        <v>48</v>
      </c>
      <c r="J172" s="52"/>
      <c r="K172" s="52">
        <v>24</v>
      </c>
      <c r="L172" s="52"/>
      <c r="M172" s="52"/>
      <c r="N172" s="53"/>
      <c r="O172" s="52"/>
      <c r="P172" s="52"/>
      <c r="Q172" s="52"/>
      <c r="R172" s="52">
        <v>0</v>
      </c>
      <c r="S172" s="52">
        <v>0</v>
      </c>
      <c r="T172" s="52">
        <v>12</v>
      </c>
      <c r="U172" s="52">
        <v>12</v>
      </c>
    </row>
    <row r="173" spans="1:21" ht="15" thickBot="1">
      <c r="A173" s="42"/>
      <c r="B173" s="42"/>
      <c r="C173" s="42"/>
      <c r="D173" s="70"/>
      <c r="E173" s="150" t="s">
        <v>63</v>
      </c>
      <c r="F173" s="150"/>
      <c r="G173" s="150"/>
      <c r="H173" s="150"/>
      <c r="I173" s="71">
        <f>SUM(I167:I172)</f>
        <v>3500</v>
      </c>
      <c r="J173" s="68">
        <f t="shared" ref="J173:U173" si="22">SUM(J167:J172)</f>
        <v>0</v>
      </c>
      <c r="K173" s="68">
        <f t="shared" si="22"/>
        <v>924</v>
      </c>
      <c r="L173" s="68">
        <f t="shared" si="22"/>
        <v>438</v>
      </c>
      <c r="M173" s="68">
        <f t="shared" si="22"/>
        <v>388</v>
      </c>
      <c r="N173" s="71">
        <f t="shared" si="22"/>
        <v>0</v>
      </c>
      <c r="O173" s="68">
        <f t="shared" si="22"/>
        <v>0</v>
      </c>
      <c r="P173" s="68">
        <f t="shared" si="22"/>
        <v>0</v>
      </c>
      <c r="Q173" s="68">
        <f t="shared" si="22"/>
        <v>0</v>
      </c>
      <c r="R173" s="68">
        <f t="shared" si="22"/>
        <v>0</v>
      </c>
      <c r="S173" s="71">
        <f t="shared" si="22"/>
        <v>0</v>
      </c>
      <c r="T173" s="68">
        <f t="shared" si="22"/>
        <v>875</v>
      </c>
      <c r="U173" s="71">
        <f t="shared" si="22"/>
        <v>875</v>
      </c>
    </row>
    <row r="174" spans="1:21">
      <c r="A174" s="62" t="s">
        <v>40</v>
      </c>
      <c r="B174" s="63" t="s">
        <v>41</v>
      </c>
      <c r="C174" s="64" t="s">
        <v>76</v>
      </c>
      <c r="D174" s="65"/>
      <c r="E174" s="66" t="s">
        <v>43</v>
      </c>
      <c r="F174" s="66"/>
      <c r="G174" s="66"/>
      <c r="H174" s="67"/>
      <c r="I174" s="153">
        <f>SUM(J174:U175)</f>
        <v>1090</v>
      </c>
      <c r="J174" s="151">
        <f t="shared" ref="J174:U174" si="23">SUM(J176:J180)</f>
        <v>0</v>
      </c>
      <c r="K174" s="151">
        <f t="shared" si="23"/>
        <v>0</v>
      </c>
      <c r="L174" s="151">
        <f t="shared" si="23"/>
        <v>0</v>
      </c>
      <c r="M174" s="151">
        <f t="shared" si="23"/>
        <v>0</v>
      </c>
      <c r="N174" s="153">
        <f t="shared" si="23"/>
        <v>0</v>
      </c>
      <c r="O174" s="151">
        <f t="shared" si="23"/>
        <v>0</v>
      </c>
      <c r="P174" s="151">
        <f t="shared" si="23"/>
        <v>0</v>
      </c>
      <c r="Q174" s="151">
        <f t="shared" si="23"/>
        <v>0</v>
      </c>
      <c r="R174" s="151">
        <f t="shared" si="23"/>
        <v>345</v>
      </c>
      <c r="S174" s="151">
        <f t="shared" si="23"/>
        <v>745</v>
      </c>
      <c r="T174" s="151">
        <f t="shared" si="23"/>
        <v>0</v>
      </c>
      <c r="U174" s="153">
        <f t="shared" si="23"/>
        <v>0</v>
      </c>
    </row>
    <row r="175" spans="1:21" ht="15" thickBot="1">
      <c r="A175" s="35"/>
      <c r="B175" s="36"/>
      <c r="C175" s="37"/>
      <c r="D175" s="38"/>
      <c r="E175" s="39" t="s">
        <v>44</v>
      </c>
      <c r="F175" s="39"/>
      <c r="G175" s="39"/>
      <c r="H175" s="40"/>
      <c r="I175" s="154"/>
      <c r="J175" s="152"/>
      <c r="K175" s="152"/>
      <c r="L175" s="152"/>
      <c r="M175" s="152"/>
      <c r="N175" s="154"/>
      <c r="O175" s="152"/>
      <c r="P175" s="152"/>
      <c r="Q175" s="152"/>
      <c r="R175" s="152"/>
      <c r="S175" s="152"/>
      <c r="T175" s="152"/>
      <c r="U175" s="154"/>
    </row>
    <row r="176" spans="1:21">
      <c r="A176" s="41"/>
      <c r="B176" s="41"/>
      <c r="C176" s="41"/>
      <c r="D176" s="42">
        <v>111</v>
      </c>
      <c r="E176" s="155" t="s">
        <v>45</v>
      </c>
      <c r="F176" s="156"/>
      <c r="G176" s="156"/>
      <c r="H176" s="157"/>
      <c r="I176" s="68">
        <f>SUM(J176:U176)</f>
        <v>1000</v>
      </c>
      <c r="J176" s="43"/>
      <c r="K176" s="43"/>
      <c r="L176" s="43"/>
      <c r="M176" s="43"/>
      <c r="N176" s="44"/>
      <c r="O176" s="43"/>
      <c r="P176" s="43"/>
      <c r="Q176" s="43"/>
      <c r="R176" s="44">
        <v>300</v>
      </c>
      <c r="S176" s="43">
        <v>700</v>
      </c>
      <c r="T176" s="43"/>
      <c r="U176" s="43"/>
    </row>
    <row r="177" spans="1:21">
      <c r="A177" s="41"/>
      <c r="B177" s="41"/>
      <c r="C177" s="41"/>
      <c r="D177" s="42">
        <v>113</v>
      </c>
      <c r="E177" s="158" t="s">
        <v>46</v>
      </c>
      <c r="F177" s="159"/>
      <c r="G177" s="159"/>
      <c r="H177" s="160"/>
      <c r="I177" s="68">
        <f>SUM(J177:U177)</f>
        <v>0</v>
      </c>
      <c r="J177" s="45"/>
      <c r="K177" s="45"/>
      <c r="L177" s="46"/>
      <c r="M177" s="46"/>
      <c r="N177" s="46"/>
      <c r="O177" s="45"/>
      <c r="P177" s="46"/>
      <c r="Q177" s="46"/>
      <c r="R177" s="46"/>
      <c r="S177" s="45"/>
      <c r="T177" s="46"/>
      <c r="U177" s="46"/>
    </row>
    <row r="178" spans="1:21">
      <c r="A178" s="42"/>
      <c r="B178" s="42"/>
      <c r="C178" s="42"/>
      <c r="D178" s="42">
        <v>121</v>
      </c>
      <c r="E178" s="158" t="s">
        <v>47</v>
      </c>
      <c r="F178" s="159"/>
      <c r="G178" s="159"/>
      <c r="H178" s="160"/>
      <c r="I178" s="93">
        <f>SUM(J178:U178)</f>
        <v>54</v>
      </c>
      <c r="J178" s="45"/>
      <c r="K178" s="45"/>
      <c r="L178" s="45"/>
      <c r="M178" s="45"/>
      <c r="N178" s="46"/>
      <c r="O178" s="46"/>
      <c r="P178" s="45"/>
      <c r="Q178" s="45"/>
      <c r="R178" s="46">
        <v>27</v>
      </c>
      <c r="S178" s="46">
        <v>27</v>
      </c>
      <c r="T178" s="45"/>
      <c r="U178" s="45"/>
    </row>
    <row r="179" spans="1:21">
      <c r="A179" s="47"/>
      <c r="B179" s="47"/>
      <c r="C179" s="47"/>
      <c r="D179" s="47">
        <v>122</v>
      </c>
      <c r="E179" s="161" t="s">
        <v>48</v>
      </c>
      <c r="F179" s="162"/>
      <c r="G179" s="162"/>
      <c r="H179" s="163"/>
      <c r="I179" s="68"/>
      <c r="J179" s="48"/>
      <c r="K179" s="49"/>
      <c r="L179" s="50"/>
      <c r="M179" s="50"/>
      <c r="N179" s="50"/>
      <c r="O179" s="50"/>
      <c r="P179" s="50"/>
      <c r="Q179" s="50"/>
      <c r="R179" s="50"/>
      <c r="S179" s="50"/>
      <c r="T179" s="50"/>
      <c r="U179" s="50"/>
    </row>
    <row r="180" spans="1:21">
      <c r="A180" s="51"/>
      <c r="B180" s="51"/>
      <c r="C180" s="51"/>
      <c r="D180" s="51"/>
      <c r="E180" s="144" t="s">
        <v>49</v>
      </c>
      <c r="F180" s="145"/>
      <c r="G180" s="145"/>
      <c r="H180" s="146"/>
      <c r="I180" s="69">
        <f>SUM(J180:U180)</f>
        <v>36</v>
      </c>
      <c r="J180" s="45"/>
      <c r="K180" s="45"/>
      <c r="L180" s="45"/>
      <c r="M180" s="45"/>
      <c r="N180" s="46"/>
      <c r="O180" s="46"/>
      <c r="P180" s="45"/>
      <c r="Q180" s="45"/>
      <c r="R180" s="46">
        <v>18</v>
      </c>
      <c r="S180" s="46">
        <v>18</v>
      </c>
      <c r="T180" s="45"/>
      <c r="U180" s="45"/>
    </row>
    <row r="181" spans="1:21">
      <c r="A181" s="42"/>
      <c r="B181" s="42"/>
      <c r="C181" s="42"/>
      <c r="D181" s="42">
        <v>124</v>
      </c>
      <c r="E181" s="147" t="s">
        <v>51</v>
      </c>
      <c r="F181" s="148"/>
      <c r="G181" s="148"/>
      <c r="H181" s="149"/>
      <c r="I181" s="93">
        <f>SUM(J181:U181)</f>
        <v>16</v>
      </c>
      <c r="J181" s="52"/>
      <c r="K181" s="52"/>
      <c r="L181" s="52"/>
      <c r="M181" s="52"/>
      <c r="N181" s="53"/>
      <c r="O181" s="53"/>
      <c r="P181" s="52"/>
      <c r="Q181" s="52"/>
      <c r="R181" s="53">
        <v>8</v>
      </c>
      <c r="S181" s="53">
        <v>8</v>
      </c>
      <c r="T181" s="52"/>
      <c r="U181" s="52"/>
    </row>
    <row r="182" spans="1:21">
      <c r="A182" s="42"/>
      <c r="B182" s="42"/>
      <c r="C182" s="42"/>
      <c r="D182" s="70"/>
      <c r="E182" s="150" t="s">
        <v>63</v>
      </c>
      <c r="F182" s="150"/>
      <c r="G182" s="150"/>
      <c r="H182" s="150"/>
      <c r="I182" s="71">
        <f>SUM(I176:I181)</f>
        <v>1106</v>
      </c>
      <c r="J182" s="68">
        <f t="shared" ref="J182:U182" si="24">SUM(J176:J181)</f>
        <v>0</v>
      </c>
      <c r="K182" s="68">
        <f t="shared" si="24"/>
        <v>0</v>
      </c>
      <c r="L182" s="68">
        <f t="shared" si="24"/>
        <v>0</v>
      </c>
      <c r="M182" s="68">
        <f t="shared" si="24"/>
        <v>0</v>
      </c>
      <c r="N182" s="71">
        <f t="shared" si="24"/>
        <v>0</v>
      </c>
      <c r="O182" s="68">
        <f t="shared" si="24"/>
        <v>0</v>
      </c>
      <c r="P182" s="68">
        <f t="shared" si="24"/>
        <v>0</v>
      </c>
      <c r="Q182" s="68">
        <f t="shared" si="24"/>
        <v>0</v>
      </c>
      <c r="R182" s="68">
        <f t="shared" si="24"/>
        <v>353</v>
      </c>
      <c r="S182" s="71">
        <f t="shared" si="24"/>
        <v>753</v>
      </c>
      <c r="T182" s="68">
        <f t="shared" si="24"/>
        <v>0</v>
      </c>
      <c r="U182" s="71">
        <f t="shared" si="24"/>
        <v>0</v>
      </c>
    </row>
    <row r="183" spans="1:21">
      <c r="A183" s="42"/>
      <c r="B183" s="42"/>
      <c r="C183" s="42"/>
      <c r="D183" s="70"/>
      <c r="E183" s="150" t="s">
        <v>64</v>
      </c>
      <c r="F183" s="150"/>
      <c r="G183" s="150"/>
      <c r="H183" s="150"/>
      <c r="I183" s="68">
        <f>I164+I173+I182</f>
        <v>56668</v>
      </c>
      <c r="J183" s="68">
        <f t="shared" ref="J183:U183" si="25">J164+J173+J182</f>
        <v>3522</v>
      </c>
      <c r="K183" s="68">
        <f t="shared" si="25"/>
        <v>5500</v>
      </c>
      <c r="L183" s="68">
        <f t="shared" si="25"/>
        <v>3073</v>
      </c>
      <c r="M183" s="68">
        <f t="shared" si="25"/>
        <v>8314</v>
      </c>
      <c r="N183" s="68">
        <f t="shared" si="25"/>
        <v>6010</v>
      </c>
      <c r="O183" s="68">
        <f t="shared" si="25"/>
        <v>5114</v>
      </c>
      <c r="P183" s="68">
        <f t="shared" si="25"/>
        <v>3248</v>
      </c>
      <c r="Q183" s="68">
        <f t="shared" si="25"/>
        <v>3833</v>
      </c>
      <c r="R183" s="68">
        <f t="shared" si="25"/>
        <v>4037</v>
      </c>
      <c r="S183" s="68">
        <f t="shared" si="25"/>
        <v>4686</v>
      </c>
      <c r="T183" s="68">
        <f t="shared" si="25"/>
        <v>4929</v>
      </c>
      <c r="U183" s="68">
        <f t="shared" si="25"/>
        <v>4402</v>
      </c>
    </row>
    <row r="184" spans="1:21">
      <c r="A184" s="33"/>
      <c r="B184" s="33"/>
      <c r="C184" s="33"/>
      <c r="D184" s="72"/>
      <c r="E184" s="73"/>
      <c r="F184" s="73"/>
      <c r="G184" s="73"/>
      <c r="H184" s="73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6"/>
    </row>
    <row r="185" spans="1:21">
      <c r="A185" s="3" t="s">
        <v>65</v>
      </c>
      <c r="B185" s="3"/>
      <c r="C185" s="3"/>
      <c r="D185" s="3"/>
      <c r="E185" s="3"/>
      <c r="F185" s="3"/>
      <c r="G185" s="3"/>
      <c r="H185" s="3"/>
      <c r="I185" s="3"/>
      <c r="J185" s="27"/>
      <c r="K185" s="27"/>
      <c r="L185" s="27"/>
      <c r="M185" s="3"/>
      <c r="N185" s="27" t="s">
        <v>66</v>
      </c>
      <c r="O185" s="27"/>
      <c r="P185" s="27"/>
      <c r="Q185" s="25"/>
      <c r="R185" s="3"/>
      <c r="S185" s="3"/>
      <c r="T185" s="3"/>
      <c r="U185" s="3"/>
    </row>
    <row r="186" spans="1:21">
      <c r="A186" s="3" t="s">
        <v>67</v>
      </c>
      <c r="B186" s="3"/>
      <c r="C186" s="3"/>
      <c r="D186" s="3"/>
      <c r="E186" s="3"/>
      <c r="F186" s="3"/>
      <c r="G186" s="3"/>
      <c r="H186" s="3"/>
      <c r="I186" s="3"/>
      <c r="J186" s="25" t="s">
        <v>68</v>
      </c>
      <c r="K186" s="25"/>
      <c r="L186" s="25"/>
      <c r="M186" s="3"/>
      <c r="N186" s="25" t="s">
        <v>69</v>
      </c>
      <c r="O186" s="25"/>
      <c r="P186" s="25"/>
      <c r="Q186" s="25"/>
      <c r="R186" s="25"/>
      <c r="S186" s="3"/>
      <c r="T186" s="3"/>
      <c r="U186" s="3"/>
    </row>
    <row r="187" spans="1:21">
      <c r="A187" s="3" t="s">
        <v>70</v>
      </c>
      <c r="B187" s="3"/>
      <c r="C187" s="3"/>
      <c r="D187" s="3"/>
      <c r="E187" s="3"/>
      <c r="F187" s="3"/>
      <c r="G187" s="3"/>
      <c r="H187" s="3"/>
      <c r="I187" s="3"/>
      <c r="J187" s="27"/>
      <c r="K187" s="27"/>
      <c r="L187" s="27"/>
      <c r="M187" s="3"/>
      <c r="N187" s="27" t="s">
        <v>71</v>
      </c>
      <c r="O187" s="27"/>
      <c r="P187" s="27"/>
      <c r="Q187" s="25"/>
      <c r="R187" s="3"/>
      <c r="S187" s="3"/>
      <c r="T187" s="3"/>
      <c r="U187" s="3"/>
    </row>
    <row r="188" spans="1:21">
      <c r="A188" s="3" t="s">
        <v>72</v>
      </c>
      <c r="B188" s="3"/>
      <c r="C188" s="3"/>
      <c r="D188" s="3"/>
      <c r="E188" s="3"/>
      <c r="F188" s="3"/>
      <c r="G188" s="3"/>
      <c r="H188" s="3"/>
      <c r="I188" s="3"/>
      <c r="J188" s="25" t="s">
        <v>68</v>
      </c>
      <c r="K188" s="25"/>
      <c r="L188" s="25"/>
      <c r="M188" s="3"/>
      <c r="N188" s="25" t="s">
        <v>69</v>
      </c>
      <c r="O188" s="25"/>
      <c r="P188" s="25"/>
      <c r="Q188" s="25"/>
      <c r="R188" s="3"/>
      <c r="S188" s="3"/>
      <c r="T188" s="3"/>
      <c r="U188" s="3"/>
    </row>
    <row r="189" spans="1:21">
      <c r="D189" s="3"/>
      <c r="E189" s="3"/>
      <c r="F189" s="3"/>
      <c r="G189" s="3"/>
      <c r="H189" s="3"/>
      <c r="I189" s="3"/>
      <c r="J189" s="25"/>
      <c r="K189" s="25"/>
      <c r="L189" s="25"/>
      <c r="M189" s="25"/>
      <c r="N189" s="25"/>
      <c r="O189" s="25"/>
      <c r="P189" s="25"/>
      <c r="Q189" s="25"/>
      <c r="R189" s="3"/>
      <c r="S189" s="3"/>
      <c r="T189" s="3"/>
      <c r="U189" s="3"/>
    </row>
    <row r="190" spans="1:21">
      <c r="D190" s="3"/>
      <c r="E190" s="3"/>
      <c r="F190" s="3"/>
      <c r="G190" s="3"/>
      <c r="H190" s="3"/>
      <c r="I190" s="3"/>
      <c r="J190" s="25"/>
      <c r="K190" s="25"/>
      <c r="L190" s="25"/>
      <c r="M190" s="25"/>
      <c r="N190" s="25"/>
      <c r="O190" s="25"/>
      <c r="P190" s="25"/>
      <c r="Q190" s="25"/>
      <c r="R190" s="25"/>
      <c r="S190" s="3"/>
      <c r="T190" s="3"/>
      <c r="U190" s="3"/>
    </row>
    <row r="191" spans="1:21">
      <c r="D191" s="3"/>
      <c r="E191" s="3"/>
      <c r="F191" s="3"/>
      <c r="G191" s="3"/>
      <c r="H191" s="3"/>
      <c r="I191" s="3"/>
      <c r="J191" s="25"/>
      <c r="K191" s="25"/>
      <c r="L191" s="25"/>
      <c r="M191" s="25"/>
      <c r="N191" s="25"/>
      <c r="O191" s="25"/>
      <c r="P191" s="25"/>
      <c r="Q191" s="25"/>
      <c r="R191" s="3"/>
      <c r="S191" s="3"/>
      <c r="T191" s="3"/>
      <c r="U191" s="3"/>
    </row>
    <row r="192" spans="1:21">
      <c r="D192" s="3"/>
      <c r="E192" s="3"/>
      <c r="F192" s="3"/>
      <c r="G192" s="3"/>
      <c r="H192" s="3"/>
      <c r="I192" s="3"/>
      <c r="J192" s="25"/>
      <c r="K192" s="25"/>
      <c r="L192" s="25"/>
      <c r="M192" s="3"/>
      <c r="N192" s="25"/>
      <c r="O192" s="25"/>
      <c r="P192" s="25"/>
      <c r="Q192" s="25"/>
      <c r="R192" s="3"/>
      <c r="S192" s="3"/>
      <c r="T192" s="3"/>
      <c r="U192" s="3"/>
    </row>
    <row r="193" spans="1:2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205" t="s">
        <v>4</v>
      </c>
      <c r="M193" s="205"/>
      <c r="N193" s="205"/>
      <c r="O193" s="205"/>
      <c r="P193" s="205"/>
      <c r="Q193" s="205"/>
      <c r="R193" s="205"/>
      <c r="S193" s="205"/>
      <c r="T193" s="205"/>
      <c r="U193" s="205"/>
    </row>
    <row r="194" spans="1:2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205" t="s">
        <v>5</v>
      </c>
      <c r="M194" s="205"/>
      <c r="N194" s="205"/>
      <c r="O194" s="205"/>
      <c r="P194" s="205"/>
      <c r="Q194" s="205"/>
      <c r="R194" s="205"/>
      <c r="S194" s="205"/>
      <c r="T194" s="205"/>
      <c r="U194" s="205"/>
    </row>
    <row r="195" spans="1:2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205" t="s">
        <v>6</v>
      </c>
      <c r="M195" s="205"/>
      <c r="N195" s="205"/>
      <c r="O195" s="205"/>
      <c r="P195" s="205"/>
      <c r="Q195" s="205"/>
      <c r="R195" s="205"/>
      <c r="S195" s="205"/>
      <c r="T195" s="205"/>
      <c r="U195" s="205"/>
    </row>
    <row r="196" spans="1:2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5"/>
      <c r="M196" s="5"/>
      <c r="N196" s="5"/>
      <c r="O196" s="5"/>
      <c r="P196" s="206"/>
      <c r="Q196" s="206"/>
      <c r="R196" s="206"/>
      <c r="S196" s="207" t="s">
        <v>7</v>
      </c>
      <c r="T196" s="207"/>
      <c r="U196" s="207"/>
    </row>
    <row r="197" spans="1:2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5"/>
      <c r="M197" s="5"/>
      <c r="N197" s="5"/>
      <c r="O197" s="5"/>
      <c r="P197" s="177" t="s">
        <v>8</v>
      </c>
      <c r="Q197" s="177"/>
      <c r="R197" s="177"/>
      <c r="S197" s="178" t="s">
        <v>9</v>
      </c>
      <c r="T197" s="178"/>
      <c r="U197" s="5"/>
    </row>
    <row r="198" spans="1:2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5"/>
      <c r="M198" s="5"/>
      <c r="N198" s="5"/>
      <c r="O198" s="5"/>
      <c r="P198" s="179" t="s">
        <v>80</v>
      </c>
      <c r="Q198" s="179"/>
      <c r="R198" s="179"/>
      <c r="S198" s="6"/>
      <c r="T198" s="6"/>
      <c r="U198" s="6"/>
    </row>
    <row r="199" spans="1:21">
      <c r="A199" s="7"/>
      <c r="B199" s="8"/>
      <c r="C199" s="8"/>
      <c r="D199" s="8"/>
      <c r="E199" s="8" t="s">
        <v>10</v>
      </c>
      <c r="F199" s="8"/>
      <c r="G199" s="9"/>
      <c r="H199" s="7"/>
      <c r="I199" s="7"/>
      <c r="J199" s="7"/>
      <c r="K199" s="7"/>
      <c r="L199" s="7"/>
      <c r="M199" s="7"/>
      <c r="N199" s="7"/>
      <c r="O199" s="7"/>
      <c r="P199" s="10" t="s">
        <v>11</v>
      </c>
      <c r="Q199" s="10"/>
      <c r="R199" s="10"/>
      <c r="S199" s="7"/>
      <c r="T199" s="7"/>
      <c r="U199" s="7"/>
    </row>
    <row r="200" spans="1:21">
      <c r="A200" s="11" t="s">
        <v>12</v>
      </c>
      <c r="B200" s="11"/>
      <c r="C200" s="11"/>
      <c r="D200" s="12" t="s">
        <v>13</v>
      </c>
      <c r="E200" s="11" t="s">
        <v>14</v>
      </c>
      <c r="F200" s="13"/>
      <c r="G200" s="13"/>
      <c r="H200" s="13"/>
      <c r="I200" s="13"/>
      <c r="J200" s="13"/>
      <c r="K200" s="13"/>
      <c r="L200" s="13"/>
      <c r="M200" s="13"/>
      <c r="N200" s="14"/>
      <c r="O200" s="14"/>
      <c r="P200" s="14"/>
      <c r="Q200" s="13"/>
      <c r="R200" s="13"/>
      <c r="S200" s="13"/>
      <c r="T200" s="13"/>
      <c r="U200" s="13"/>
    </row>
    <row r="201" spans="1:21">
      <c r="A201" s="11" t="s">
        <v>15</v>
      </c>
      <c r="B201" s="15"/>
      <c r="C201" s="15"/>
      <c r="D201" s="15"/>
      <c r="E201" s="16" t="s">
        <v>73</v>
      </c>
      <c r="F201" s="13"/>
      <c r="G201" s="13"/>
      <c r="H201" s="13"/>
      <c r="I201" s="13"/>
      <c r="J201" s="13"/>
      <c r="K201" s="13"/>
      <c r="L201" s="13"/>
      <c r="M201" s="13"/>
      <c r="N201" s="14"/>
      <c r="O201" s="14"/>
      <c r="P201" s="14"/>
      <c r="Q201" s="13"/>
      <c r="R201" s="13"/>
      <c r="S201" s="13"/>
      <c r="T201" s="13"/>
      <c r="U201" s="13"/>
    </row>
    <row r="202" spans="1:21">
      <c r="A202" s="11" t="s">
        <v>16</v>
      </c>
      <c r="B202" s="11"/>
      <c r="C202" s="11"/>
      <c r="D202" s="11"/>
      <c r="E202" s="11" t="s">
        <v>17</v>
      </c>
      <c r="F202" s="17"/>
      <c r="G202" s="17"/>
      <c r="H202" s="17"/>
      <c r="I202" s="17"/>
      <c r="J202" s="17"/>
      <c r="K202" s="13"/>
      <c r="L202" s="13"/>
      <c r="M202" s="13"/>
      <c r="N202" s="14"/>
      <c r="O202" s="14"/>
      <c r="P202" s="14"/>
      <c r="Q202" s="13"/>
      <c r="R202" s="13"/>
      <c r="S202" s="13"/>
      <c r="T202" s="13"/>
      <c r="U202" s="13"/>
    </row>
    <row r="203" spans="1:21">
      <c r="A203" s="11" t="s">
        <v>18</v>
      </c>
      <c r="B203" s="11"/>
      <c r="C203" s="11"/>
      <c r="D203" s="11"/>
      <c r="E203" s="11"/>
      <c r="F203" s="18" t="s">
        <v>19</v>
      </c>
      <c r="G203" s="18"/>
      <c r="H203" s="14"/>
      <c r="I203" s="19"/>
      <c r="J203" s="14"/>
      <c r="K203" s="17"/>
      <c r="L203" s="17"/>
      <c r="M203" s="13"/>
      <c r="N203" s="14"/>
      <c r="O203" s="14"/>
      <c r="P203" s="14"/>
      <c r="Q203" s="20"/>
      <c r="R203" s="13"/>
      <c r="S203" s="13"/>
      <c r="T203" s="13"/>
      <c r="U203" s="13"/>
    </row>
    <row r="204" spans="1:21" ht="15" thickBot="1">
      <c r="A204" s="21" t="s">
        <v>20</v>
      </c>
      <c r="B204" s="21"/>
      <c r="C204" s="21"/>
      <c r="D204" s="21"/>
      <c r="E204" s="21"/>
      <c r="F204" s="22" t="s">
        <v>21</v>
      </c>
      <c r="G204" s="22"/>
      <c r="H204" s="14"/>
      <c r="I204" s="19"/>
      <c r="J204" s="14"/>
      <c r="K204" s="14"/>
      <c r="L204" s="14"/>
      <c r="M204" s="19"/>
      <c r="N204" s="180"/>
      <c r="O204" s="180"/>
      <c r="P204" s="180"/>
      <c r="Q204" s="180"/>
      <c r="R204" s="13"/>
      <c r="S204" s="13"/>
      <c r="T204" s="13"/>
      <c r="U204" s="13"/>
    </row>
    <row r="205" spans="1:21">
      <c r="A205" s="181" t="s">
        <v>22</v>
      </c>
      <c r="B205" s="184" t="s">
        <v>23</v>
      </c>
      <c r="C205" s="184" t="s">
        <v>24</v>
      </c>
      <c r="D205" s="187" t="s">
        <v>25</v>
      </c>
      <c r="E205" s="23"/>
      <c r="F205" s="23"/>
      <c r="G205" s="23"/>
      <c r="H205" s="24"/>
      <c r="I205" s="190" t="s">
        <v>74</v>
      </c>
      <c r="J205" s="193" t="s">
        <v>26</v>
      </c>
      <c r="K205" s="194"/>
      <c r="L205" s="194"/>
      <c r="M205" s="194"/>
      <c r="N205" s="194"/>
      <c r="O205" s="194"/>
      <c r="P205" s="194"/>
      <c r="Q205" s="194"/>
      <c r="R205" s="194"/>
      <c r="S205" s="194"/>
      <c r="T205" s="194"/>
      <c r="U205" s="195"/>
    </row>
    <row r="206" spans="1:21">
      <c r="A206" s="182"/>
      <c r="B206" s="185"/>
      <c r="C206" s="185"/>
      <c r="D206" s="188"/>
      <c r="E206" s="25"/>
      <c r="F206" s="25" t="s">
        <v>27</v>
      </c>
      <c r="G206" s="25"/>
      <c r="H206" s="26"/>
      <c r="I206" s="191"/>
      <c r="J206" s="196" t="s">
        <v>28</v>
      </c>
      <c r="K206" s="196" t="s">
        <v>29</v>
      </c>
      <c r="L206" s="199" t="s">
        <v>30</v>
      </c>
      <c r="M206" s="199" t="s">
        <v>31</v>
      </c>
      <c r="N206" s="199" t="s">
        <v>32</v>
      </c>
      <c r="O206" s="196" t="s">
        <v>33</v>
      </c>
      <c r="P206" s="196" t="s">
        <v>34</v>
      </c>
      <c r="Q206" s="196" t="s">
        <v>35</v>
      </c>
      <c r="R206" s="196" t="s">
        <v>36</v>
      </c>
      <c r="S206" s="196" t="s">
        <v>37</v>
      </c>
      <c r="T206" s="196" t="s">
        <v>38</v>
      </c>
      <c r="U206" s="202" t="s">
        <v>39</v>
      </c>
    </row>
    <row r="207" spans="1:21">
      <c r="A207" s="182"/>
      <c r="B207" s="185"/>
      <c r="C207" s="185"/>
      <c r="D207" s="188"/>
      <c r="E207" s="25"/>
      <c r="F207" s="25"/>
      <c r="G207" s="25"/>
      <c r="H207" s="26"/>
      <c r="I207" s="191"/>
      <c r="J207" s="197"/>
      <c r="K207" s="197"/>
      <c r="L207" s="200"/>
      <c r="M207" s="200"/>
      <c r="N207" s="200"/>
      <c r="O207" s="197"/>
      <c r="P207" s="197"/>
      <c r="Q207" s="197"/>
      <c r="R207" s="197"/>
      <c r="S207" s="197"/>
      <c r="T207" s="197"/>
      <c r="U207" s="203"/>
    </row>
    <row r="208" spans="1:21">
      <c r="A208" s="183"/>
      <c r="B208" s="186"/>
      <c r="C208" s="186"/>
      <c r="D208" s="189"/>
      <c r="E208" s="27"/>
      <c r="F208" s="27"/>
      <c r="G208" s="27"/>
      <c r="H208" s="28"/>
      <c r="I208" s="192"/>
      <c r="J208" s="198"/>
      <c r="K208" s="198"/>
      <c r="L208" s="201"/>
      <c r="M208" s="201"/>
      <c r="N208" s="201"/>
      <c r="O208" s="198"/>
      <c r="P208" s="198"/>
      <c r="Q208" s="198"/>
      <c r="R208" s="198"/>
      <c r="S208" s="198"/>
      <c r="T208" s="198"/>
      <c r="U208" s="204"/>
    </row>
    <row r="209" spans="1:21" ht="14.55" customHeight="1">
      <c r="A209" s="29" t="s">
        <v>40</v>
      </c>
      <c r="B209" s="30" t="s">
        <v>41</v>
      </c>
      <c r="C209" s="31" t="s">
        <v>42</v>
      </c>
      <c r="D209" s="32"/>
      <c r="E209" s="33" t="s">
        <v>43</v>
      </c>
      <c r="F209" s="33"/>
      <c r="G209" s="33"/>
      <c r="H209" s="34"/>
      <c r="I209" s="173">
        <f>SUM(J209:U210)</f>
        <v>52062</v>
      </c>
      <c r="J209" s="173">
        <f>SUM(J211:J226)</f>
        <v>3522</v>
      </c>
      <c r="K209" s="173">
        <f t="shared" ref="K209:U209" si="26">SUM(K211:K226)</f>
        <v>4576</v>
      </c>
      <c r="L209" s="176">
        <f t="shared" si="26"/>
        <v>2635</v>
      </c>
      <c r="M209" s="176">
        <f t="shared" si="26"/>
        <v>5854</v>
      </c>
      <c r="N209" s="176">
        <f t="shared" si="26"/>
        <v>8945</v>
      </c>
      <c r="O209" s="173">
        <f t="shared" si="26"/>
        <v>4771</v>
      </c>
      <c r="P209" s="173">
        <f t="shared" si="26"/>
        <v>2728</v>
      </c>
      <c r="Q209" s="173">
        <f t="shared" si="26"/>
        <v>3833</v>
      </c>
      <c r="R209" s="173">
        <f t="shared" si="26"/>
        <v>3684</v>
      </c>
      <c r="S209" s="173">
        <f t="shared" si="26"/>
        <v>3933</v>
      </c>
      <c r="T209" s="173">
        <f t="shared" si="26"/>
        <v>4054</v>
      </c>
      <c r="U209" s="174">
        <f t="shared" si="26"/>
        <v>3527</v>
      </c>
    </row>
    <row r="210" spans="1:21" ht="14.55" customHeight="1" thickBot="1">
      <c r="A210" s="35"/>
      <c r="B210" s="36"/>
      <c r="C210" s="37"/>
      <c r="D210" s="38"/>
      <c r="E210" s="39" t="s">
        <v>44</v>
      </c>
      <c r="F210" s="39"/>
      <c r="G210" s="39"/>
      <c r="H210" s="40"/>
      <c r="I210" s="152"/>
      <c r="J210" s="152"/>
      <c r="K210" s="152"/>
      <c r="L210" s="154"/>
      <c r="M210" s="154"/>
      <c r="N210" s="154"/>
      <c r="O210" s="152"/>
      <c r="P210" s="152"/>
      <c r="Q210" s="152"/>
      <c r="R210" s="152"/>
      <c r="S210" s="152"/>
      <c r="T210" s="152"/>
      <c r="U210" s="175"/>
    </row>
    <row r="211" spans="1:21">
      <c r="A211" s="41"/>
      <c r="B211" s="41"/>
      <c r="C211" s="41"/>
      <c r="D211" s="42">
        <v>111</v>
      </c>
      <c r="E211" s="155" t="s">
        <v>45</v>
      </c>
      <c r="F211" s="156"/>
      <c r="G211" s="156"/>
      <c r="H211" s="157"/>
      <c r="I211" s="71">
        <f>SUM(J211:U211)</f>
        <v>38088</v>
      </c>
      <c r="J211" s="43">
        <v>3174</v>
      </c>
      <c r="K211" s="44">
        <f>3174-910</f>
        <v>2264</v>
      </c>
      <c r="L211" s="43">
        <v>2150</v>
      </c>
      <c r="M211" s="44">
        <f>3174+58+1819-2226</f>
        <v>2825</v>
      </c>
      <c r="N211" s="43">
        <v>5661</v>
      </c>
      <c r="O211" s="43">
        <f>3500+12+469</f>
        <v>3981</v>
      </c>
      <c r="P211" s="43">
        <f>2034+13</f>
        <v>2047</v>
      </c>
      <c r="Q211" s="43">
        <f>3186+12</f>
        <v>3198</v>
      </c>
      <c r="R211" s="43">
        <f>3183+16</f>
        <v>3199</v>
      </c>
      <c r="S211" s="43">
        <f>3174+24</f>
        <v>3198</v>
      </c>
      <c r="T211" s="43">
        <f>3174+25</f>
        <v>3199</v>
      </c>
      <c r="U211" s="43">
        <f>3174+18</f>
        <v>3192</v>
      </c>
    </row>
    <row r="212" spans="1:21">
      <c r="A212" s="41"/>
      <c r="B212" s="41"/>
      <c r="C212" s="41"/>
      <c r="D212" s="42">
        <v>113</v>
      </c>
      <c r="E212" s="158" t="s">
        <v>46</v>
      </c>
      <c r="F212" s="159"/>
      <c r="G212" s="159"/>
      <c r="H212" s="160"/>
      <c r="I212" s="71">
        <f>SUM(J212:U212)</f>
        <v>2620</v>
      </c>
      <c r="J212" s="45"/>
      <c r="K212" s="46"/>
      <c r="L212" s="46"/>
      <c r="M212" s="46">
        <v>1320</v>
      </c>
      <c r="N212" s="46">
        <f>863</f>
        <v>863</v>
      </c>
      <c r="O212" s="46">
        <v>0</v>
      </c>
      <c r="P212" s="46">
        <v>317</v>
      </c>
      <c r="Q212" s="46">
        <v>120</v>
      </c>
      <c r="R212" s="46"/>
      <c r="S212" s="46"/>
      <c r="T212" s="46"/>
      <c r="U212" s="46"/>
    </row>
    <row r="213" spans="1:21">
      <c r="A213" s="42"/>
      <c r="B213" s="42"/>
      <c r="C213" s="42"/>
      <c r="D213" s="42">
        <v>121</v>
      </c>
      <c r="E213" s="158" t="s">
        <v>47</v>
      </c>
      <c r="F213" s="159"/>
      <c r="G213" s="159"/>
      <c r="H213" s="160"/>
      <c r="I213" s="99">
        <f>SUM(J213:U213)</f>
        <v>2063</v>
      </c>
      <c r="J213" s="45">
        <v>172</v>
      </c>
      <c r="K213" s="46">
        <f>172-44</f>
        <v>128</v>
      </c>
      <c r="L213" s="45">
        <v>95</v>
      </c>
      <c r="M213" s="46">
        <f>293-145</f>
        <v>148</v>
      </c>
      <c r="N213" s="45">
        <f>216+145</f>
        <v>361</v>
      </c>
      <c r="O213" s="45">
        <f>189</f>
        <v>189</v>
      </c>
      <c r="P213" s="45">
        <v>110</v>
      </c>
      <c r="Q213" s="45">
        <v>172</v>
      </c>
      <c r="R213" s="45">
        <v>172</v>
      </c>
      <c r="S213" s="45">
        <v>172</v>
      </c>
      <c r="T213" s="45">
        <v>172</v>
      </c>
      <c r="U213" s="45">
        <v>172</v>
      </c>
    </row>
    <row r="214" spans="1:21">
      <c r="A214" s="47"/>
      <c r="B214" s="47"/>
      <c r="C214" s="47"/>
      <c r="D214" s="47">
        <v>122</v>
      </c>
      <c r="E214" s="161" t="s">
        <v>48</v>
      </c>
      <c r="F214" s="162"/>
      <c r="G214" s="162"/>
      <c r="H214" s="163"/>
      <c r="I214" s="99"/>
      <c r="J214" s="48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</row>
    <row r="215" spans="1:21">
      <c r="A215" s="51"/>
      <c r="B215" s="51"/>
      <c r="C215" s="51"/>
      <c r="D215" s="51"/>
      <c r="E215" s="144" t="s">
        <v>49</v>
      </c>
      <c r="F215" s="145"/>
      <c r="G215" s="145"/>
      <c r="H215" s="146"/>
      <c r="I215" s="75">
        <f>SUM(J215:U215)</f>
        <v>1201</v>
      </c>
      <c r="J215" s="45">
        <v>100</v>
      </c>
      <c r="K215" s="46">
        <f>100-22</f>
        <v>78</v>
      </c>
      <c r="L215" s="45">
        <v>61</v>
      </c>
      <c r="M215" s="46">
        <f>161-63</f>
        <v>98</v>
      </c>
      <c r="N215" s="45">
        <f>126+63</f>
        <v>189</v>
      </c>
      <c r="O215" s="45">
        <f>111</f>
        <v>111</v>
      </c>
      <c r="P215" s="45">
        <v>64</v>
      </c>
      <c r="Q215" s="45">
        <v>100</v>
      </c>
      <c r="R215" s="45">
        <v>100</v>
      </c>
      <c r="S215" s="45">
        <v>100</v>
      </c>
      <c r="T215" s="45">
        <v>100</v>
      </c>
      <c r="U215" s="45">
        <v>100</v>
      </c>
    </row>
    <row r="216" spans="1:21">
      <c r="A216" s="42"/>
      <c r="B216" s="42"/>
      <c r="C216" s="42"/>
      <c r="D216" s="42">
        <v>123</v>
      </c>
      <c r="E216" s="161" t="s">
        <v>50</v>
      </c>
      <c r="F216" s="162"/>
      <c r="G216" s="162"/>
      <c r="H216" s="163"/>
      <c r="I216" s="99">
        <f>J216+K216+L216+M216+N216+O216+P216+Q216+R216+S216+T216+U216</f>
        <v>18</v>
      </c>
      <c r="J216" s="45"/>
      <c r="K216" s="46"/>
      <c r="L216" s="46"/>
      <c r="M216" s="46">
        <v>0</v>
      </c>
      <c r="N216" s="46">
        <f>18</f>
        <v>18</v>
      </c>
      <c r="O216" s="46"/>
      <c r="P216" s="46"/>
      <c r="Q216" s="46"/>
      <c r="R216" s="46"/>
      <c r="S216" s="46"/>
      <c r="T216" s="46"/>
      <c r="U216" s="46"/>
    </row>
    <row r="217" spans="1:21">
      <c r="A217" s="51"/>
      <c r="B217" s="51"/>
      <c r="C217" s="51"/>
      <c r="D217" s="51">
        <v>124</v>
      </c>
      <c r="E217" s="147" t="s">
        <v>51</v>
      </c>
      <c r="F217" s="148"/>
      <c r="G217" s="148"/>
      <c r="H217" s="149"/>
      <c r="I217" s="71">
        <f>SUM(J217:U217)</f>
        <v>757</v>
      </c>
      <c r="J217" s="53">
        <v>63</v>
      </c>
      <c r="K217" s="53">
        <f>63-20</f>
        <v>43</v>
      </c>
      <c r="L217" s="53">
        <v>32</v>
      </c>
      <c r="M217" s="53">
        <f>114-39</f>
        <v>75</v>
      </c>
      <c r="N217" s="53">
        <f>80+39</f>
        <v>119</v>
      </c>
      <c r="O217" s="53">
        <f>70</f>
        <v>70</v>
      </c>
      <c r="P217" s="53">
        <v>40</v>
      </c>
      <c r="Q217" s="53">
        <v>63</v>
      </c>
      <c r="R217" s="53">
        <v>63</v>
      </c>
      <c r="S217" s="53">
        <v>63</v>
      </c>
      <c r="T217" s="53">
        <v>63</v>
      </c>
      <c r="U217" s="53">
        <v>63</v>
      </c>
    </row>
    <row r="218" spans="1:21">
      <c r="A218" s="42"/>
      <c r="B218" s="42"/>
      <c r="C218" s="42"/>
      <c r="D218" s="42">
        <v>142</v>
      </c>
      <c r="E218" s="54" t="s">
        <v>52</v>
      </c>
      <c r="F218" s="54"/>
      <c r="G218" s="54"/>
      <c r="H218" s="54"/>
      <c r="I218" s="71">
        <f>J218+K218+L218+M218+N218+O218+P218+Q218+R218+S218+T218+U218</f>
        <v>80</v>
      </c>
      <c r="J218" s="45"/>
      <c r="K218" s="46">
        <v>80</v>
      </c>
      <c r="L218" s="46"/>
      <c r="M218" s="46"/>
      <c r="N218" s="46"/>
      <c r="O218" s="46"/>
      <c r="P218" s="46"/>
      <c r="Q218" s="46"/>
      <c r="R218" s="46"/>
      <c r="S218" s="46"/>
      <c r="T218" s="46"/>
      <c r="U218" s="46"/>
    </row>
    <row r="219" spans="1:21">
      <c r="A219" s="41"/>
      <c r="B219" s="41"/>
      <c r="C219" s="41"/>
      <c r="D219" s="41">
        <v>143</v>
      </c>
      <c r="E219" s="164" t="s">
        <v>53</v>
      </c>
      <c r="F219" s="165"/>
      <c r="G219" s="165"/>
      <c r="H219" s="166"/>
      <c r="I219" s="75">
        <f>SUM(J219:U219)</f>
        <v>0</v>
      </c>
      <c r="J219" s="55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</row>
    <row r="220" spans="1:21">
      <c r="A220" s="41"/>
      <c r="B220" s="41"/>
      <c r="C220" s="41"/>
      <c r="D220" s="41">
        <v>144</v>
      </c>
      <c r="E220" s="164" t="s">
        <v>54</v>
      </c>
      <c r="F220" s="165"/>
      <c r="G220" s="165"/>
      <c r="H220" s="166"/>
      <c r="I220" s="75">
        <f t="shared" ref="I220:I227" si="27">SUM(J220:U220)</f>
        <v>249.9</v>
      </c>
      <c r="J220" s="55"/>
      <c r="K220" s="44">
        <v>250</v>
      </c>
      <c r="L220" s="44"/>
      <c r="M220" s="44">
        <v>-0.1</v>
      </c>
      <c r="N220" s="44"/>
      <c r="O220" s="44"/>
      <c r="P220" s="44"/>
      <c r="Q220" s="44"/>
      <c r="R220" s="44"/>
      <c r="S220" s="44"/>
      <c r="T220" s="44"/>
      <c r="U220" s="44"/>
    </row>
    <row r="221" spans="1:21">
      <c r="A221" s="80"/>
      <c r="B221" s="80"/>
      <c r="C221" s="80"/>
      <c r="D221" s="80">
        <v>149</v>
      </c>
      <c r="E221" s="81" t="s">
        <v>55</v>
      </c>
      <c r="F221" s="81"/>
      <c r="G221" s="81"/>
      <c r="H221" s="81"/>
      <c r="I221" s="71">
        <f t="shared" si="27"/>
        <v>1869</v>
      </c>
      <c r="J221" s="46"/>
      <c r="K221" s="46">
        <v>200</v>
      </c>
      <c r="L221" s="46">
        <v>100</v>
      </c>
      <c r="M221" s="46">
        <f>814-464</f>
        <v>350</v>
      </c>
      <c r="N221" s="46">
        <f>500+419</f>
        <v>919</v>
      </c>
      <c r="O221" s="46">
        <f>300</f>
        <v>300</v>
      </c>
      <c r="P221" s="46"/>
      <c r="Q221" s="46"/>
      <c r="R221" s="46"/>
      <c r="S221" s="46"/>
      <c r="T221" s="46"/>
      <c r="U221" s="46"/>
    </row>
    <row r="222" spans="1:21">
      <c r="A222" s="80"/>
      <c r="B222" s="80"/>
      <c r="C222" s="80"/>
      <c r="D222" s="80">
        <v>151</v>
      </c>
      <c r="E222" s="81" t="s">
        <v>56</v>
      </c>
      <c r="F222" s="81"/>
      <c r="G222" s="81"/>
      <c r="H222" s="81"/>
      <c r="I222" s="71">
        <f t="shared" si="27"/>
        <v>3900</v>
      </c>
      <c r="J222" s="46"/>
      <c r="K222" s="46">
        <v>1300</v>
      </c>
      <c r="L222" s="46">
        <v>100</v>
      </c>
      <c r="M222" s="46">
        <f>850-600</f>
        <v>250</v>
      </c>
      <c r="N222" s="46">
        <f>100+130-30+600</f>
        <v>800</v>
      </c>
      <c r="O222" s="46">
        <f>100+30-30</f>
        <v>100</v>
      </c>
      <c r="P222" s="46">
        <v>150</v>
      </c>
      <c r="Q222" s="46">
        <v>130</v>
      </c>
      <c r="R222" s="46">
        <v>150</v>
      </c>
      <c r="S222" s="46">
        <v>400</v>
      </c>
      <c r="T222" s="46">
        <v>520</v>
      </c>
      <c r="U222" s="46"/>
    </row>
    <row r="223" spans="1:21" ht="14.55" customHeight="1">
      <c r="A223" s="80"/>
      <c r="B223" s="80"/>
      <c r="C223" s="80"/>
      <c r="D223" s="80">
        <v>152</v>
      </c>
      <c r="E223" s="83" t="s">
        <v>57</v>
      </c>
      <c r="F223" s="81"/>
      <c r="G223" s="81"/>
      <c r="H223" s="84"/>
      <c r="I223" s="71">
        <f t="shared" si="27"/>
        <v>126.1</v>
      </c>
      <c r="J223" s="46"/>
      <c r="K223" s="46">
        <f>12+50</f>
        <v>62</v>
      </c>
      <c r="L223" s="46">
        <v>31</v>
      </c>
      <c r="M223" s="46">
        <v>33.1</v>
      </c>
      <c r="N223" s="46">
        <v>0</v>
      </c>
      <c r="O223" s="46">
        <v>0</v>
      </c>
      <c r="P223" s="46">
        <v>0</v>
      </c>
      <c r="Q223" s="46">
        <v>0</v>
      </c>
      <c r="R223" s="46">
        <v>0</v>
      </c>
      <c r="S223" s="46">
        <v>0</v>
      </c>
      <c r="T223" s="46">
        <v>0</v>
      </c>
      <c r="U223" s="46">
        <v>0</v>
      </c>
    </row>
    <row r="224" spans="1:21" ht="14.55" customHeight="1">
      <c r="A224" s="80"/>
      <c r="B224" s="80"/>
      <c r="C224" s="80"/>
      <c r="D224" s="80">
        <v>159</v>
      </c>
      <c r="E224" s="167" t="s">
        <v>58</v>
      </c>
      <c r="F224" s="168"/>
      <c r="G224" s="168"/>
      <c r="H224" s="169"/>
      <c r="I224" s="71">
        <f t="shared" si="27"/>
        <v>905</v>
      </c>
      <c r="J224" s="46">
        <v>13</v>
      </c>
      <c r="K224" s="46">
        <f>12+59</f>
        <v>71</v>
      </c>
      <c r="L224" s="46">
        <v>66</v>
      </c>
      <c r="M224" s="46">
        <f>610+145</f>
        <v>755</v>
      </c>
      <c r="N224" s="46">
        <v>0</v>
      </c>
      <c r="O224" s="46">
        <v>0</v>
      </c>
      <c r="P224" s="46">
        <v>0</v>
      </c>
      <c r="Q224" s="46">
        <v>0</v>
      </c>
      <c r="R224" s="46">
        <v>0</v>
      </c>
      <c r="S224" s="46">
        <v>0</v>
      </c>
      <c r="T224" s="46">
        <v>0</v>
      </c>
      <c r="U224" s="46">
        <v>0</v>
      </c>
    </row>
    <row r="225" spans="1:21">
      <c r="A225" s="42"/>
      <c r="B225" s="42"/>
      <c r="C225" s="42"/>
      <c r="D225" s="42">
        <v>161</v>
      </c>
      <c r="E225" s="95" t="s">
        <v>59</v>
      </c>
      <c r="F225" s="96"/>
      <c r="G225" s="96"/>
      <c r="H225" s="97"/>
      <c r="I225" s="71">
        <f t="shared" si="27"/>
        <v>90</v>
      </c>
      <c r="J225" s="45"/>
      <c r="K225" s="46">
        <v>90</v>
      </c>
      <c r="L225" s="46"/>
      <c r="M225" s="46"/>
      <c r="N225" s="46"/>
      <c r="O225" s="46"/>
      <c r="P225" s="46"/>
      <c r="Q225" s="46"/>
      <c r="R225" s="46"/>
      <c r="S225" s="46"/>
      <c r="T225" s="46"/>
      <c r="U225" s="46"/>
    </row>
    <row r="226" spans="1:21">
      <c r="A226" s="42"/>
      <c r="B226" s="42"/>
      <c r="C226" s="42"/>
      <c r="D226" s="42">
        <v>169</v>
      </c>
      <c r="E226" s="158" t="s">
        <v>60</v>
      </c>
      <c r="F226" s="159"/>
      <c r="G226" s="159"/>
      <c r="H226" s="160"/>
      <c r="I226" s="71">
        <f t="shared" si="27"/>
        <v>95</v>
      </c>
      <c r="J226" s="45"/>
      <c r="K226" s="46">
        <v>10</v>
      </c>
      <c r="L226" s="46"/>
      <c r="M226" s="46">
        <v>0</v>
      </c>
      <c r="N226" s="46">
        <v>15</v>
      </c>
      <c r="O226" s="46">
        <f>20</f>
        <v>20</v>
      </c>
      <c r="P226" s="46"/>
      <c r="Q226" s="46">
        <v>50</v>
      </c>
      <c r="R226" s="46"/>
      <c r="S226" s="46"/>
      <c r="T226" s="46"/>
      <c r="U226" s="46"/>
    </row>
    <row r="227" spans="1:21">
      <c r="A227" s="47"/>
      <c r="B227" s="47"/>
      <c r="C227" s="47"/>
      <c r="D227" s="47">
        <v>418</v>
      </c>
      <c r="E227" s="158" t="s">
        <v>75</v>
      </c>
      <c r="F227" s="159"/>
      <c r="G227" s="159"/>
      <c r="H227" s="160"/>
      <c r="I227" s="71">
        <f t="shared" si="27"/>
        <v>0</v>
      </c>
      <c r="J227" s="49"/>
      <c r="K227" s="49"/>
      <c r="L227" s="50"/>
      <c r="M227" s="50"/>
      <c r="N227" s="50"/>
      <c r="O227" s="50"/>
      <c r="P227" s="50"/>
      <c r="Q227" s="50"/>
      <c r="R227" s="50"/>
      <c r="S227" s="50"/>
      <c r="T227" s="50"/>
      <c r="U227" s="50"/>
    </row>
    <row r="228" spans="1:21" ht="15" thickBot="1">
      <c r="A228" s="47"/>
      <c r="B228" s="47"/>
      <c r="C228" s="47"/>
      <c r="D228" s="59"/>
      <c r="E228" s="170" t="s">
        <v>61</v>
      </c>
      <c r="F228" s="171"/>
      <c r="G228" s="171"/>
      <c r="H228" s="172"/>
      <c r="I228" s="99">
        <f>SUM(J228:U228)</f>
        <v>52062</v>
      </c>
      <c r="J228" s="98">
        <f>SUM(J211:J226)</f>
        <v>3522</v>
      </c>
      <c r="K228" s="98">
        <f>SUM(K211:K227)</f>
        <v>4576</v>
      </c>
      <c r="L228" s="99">
        <f t="shared" ref="L228" si="28">SUM(L211:L226)</f>
        <v>2635</v>
      </c>
      <c r="M228" s="99">
        <f>SUM(M211:M227)</f>
        <v>5854</v>
      </c>
      <c r="N228" s="99">
        <f>SUM(N211:N227)</f>
        <v>8945</v>
      </c>
      <c r="O228" s="98">
        <f t="shared" ref="O228:U228" si="29">SUM(O211:O226)</f>
        <v>4771</v>
      </c>
      <c r="P228" s="98">
        <f t="shared" si="29"/>
        <v>2728</v>
      </c>
      <c r="Q228" s="98">
        <f t="shared" si="29"/>
        <v>3833</v>
      </c>
      <c r="R228" s="98">
        <f t="shared" si="29"/>
        <v>3684</v>
      </c>
      <c r="S228" s="98">
        <f t="shared" si="29"/>
        <v>3933</v>
      </c>
      <c r="T228" s="98">
        <f t="shared" si="29"/>
        <v>4054</v>
      </c>
      <c r="U228" s="99">
        <f t="shared" si="29"/>
        <v>3527</v>
      </c>
    </row>
    <row r="229" spans="1:21">
      <c r="A229" s="62" t="s">
        <v>40</v>
      </c>
      <c r="B229" s="63" t="s">
        <v>41</v>
      </c>
      <c r="C229" s="64" t="s">
        <v>62</v>
      </c>
      <c r="D229" s="65"/>
      <c r="E229" s="66" t="s">
        <v>43</v>
      </c>
      <c r="F229" s="66"/>
      <c r="G229" s="66"/>
      <c r="H229" s="67"/>
      <c r="I229" s="153">
        <f>SUM(J229:U230)</f>
        <v>5132</v>
      </c>
      <c r="J229" s="151">
        <f>SUM(J231:J236)</f>
        <v>0</v>
      </c>
      <c r="K229" s="151">
        <f t="shared" ref="K229:U229" si="30">SUM(K231:K236)</f>
        <v>924</v>
      </c>
      <c r="L229" s="151">
        <f t="shared" si="30"/>
        <v>438</v>
      </c>
      <c r="M229" s="151">
        <f t="shared" si="30"/>
        <v>1076</v>
      </c>
      <c r="N229" s="153">
        <f t="shared" si="30"/>
        <v>0</v>
      </c>
      <c r="O229" s="151">
        <f t="shared" si="30"/>
        <v>0</v>
      </c>
      <c r="P229" s="151">
        <f t="shared" si="30"/>
        <v>0</v>
      </c>
      <c r="Q229" s="151">
        <f t="shared" si="30"/>
        <v>0</v>
      </c>
      <c r="R229" s="151">
        <f t="shared" si="30"/>
        <v>0</v>
      </c>
      <c r="S229" s="151">
        <f t="shared" si="30"/>
        <v>0</v>
      </c>
      <c r="T229" s="151">
        <f t="shared" si="30"/>
        <v>195.00000000000003</v>
      </c>
      <c r="U229" s="153">
        <f t="shared" si="30"/>
        <v>2499</v>
      </c>
    </row>
    <row r="230" spans="1:21" ht="15" thickBot="1">
      <c r="A230" s="35"/>
      <c r="B230" s="36"/>
      <c r="C230" s="37"/>
      <c r="D230" s="38"/>
      <c r="E230" s="39" t="s">
        <v>44</v>
      </c>
      <c r="F230" s="39"/>
      <c r="G230" s="39"/>
      <c r="H230" s="40"/>
      <c r="I230" s="154"/>
      <c r="J230" s="152"/>
      <c r="K230" s="152"/>
      <c r="L230" s="152"/>
      <c r="M230" s="152"/>
      <c r="N230" s="154"/>
      <c r="O230" s="152"/>
      <c r="P230" s="152"/>
      <c r="Q230" s="152"/>
      <c r="R230" s="152"/>
      <c r="S230" s="152"/>
      <c r="T230" s="152"/>
      <c r="U230" s="154"/>
    </row>
    <row r="231" spans="1:21">
      <c r="A231" s="41"/>
      <c r="B231" s="41"/>
      <c r="C231" s="41"/>
      <c r="D231" s="42">
        <v>111</v>
      </c>
      <c r="E231" s="155" t="s">
        <v>45</v>
      </c>
      <c r="F231" s="156"/>
      <c r="G231" s="156"/>
      <c r="H231" s="157"/>
      <c r="I231" s="68">
        <f>SUM(J231:U231)</f>
        <v>4524.3999999999996</v>
      </c>
      <c r="J231" s="43"/>
      <c r="K231" s="43">
        <v>800</v>
      </c>
      <c r="L231" s="43">
        <v>400</v>
      </c>
      <c r="M231" s="44">
        <f>388+372.4</f>
        <v>760.4</v>
      </c>
      <c r="N231" s="44"/>
      <c r="O231" s="43"/>
      <c r="P231" s="43"/>
      <c r="Q231" s="43"/>
      <c r="R231" s="43">
        <v>0</v>
      </c>
      <c r="S231" s="43">
        <v>0</v>
      </c>
      <c r="T231" s="43">
        <f>794-372.4-226.6</f>
        <v>195.00000000000003</v>
      </c>
      <c r="U231" s="43">
        <f>794+1575</f>
        <v>2369</v>
      </c>
    </row>
    <row r="232" spans="1:21">
      <c r="A232" s="41"/>
      <c r="B232" s="41"/>
      <c r="C232" s="41"/>
      <c r="D232" s="42">
        <v>113</v>
      </c>
      <c r="E232" s="158" t="s">
        <v>46</v>
      </c>
      <c r="F232" s="159"/>
      <c r="G232" s="159"/>
      <c r="H232" s="160"/>
      <c r="I232" s="68">
        <f>SUM(J232:U232)</f>
        <v>226.6</v>
      </c>
      <c r="J232" s="45"/>
      <c r="K232" s="45"/>
      <c r="L232" s="46"/>
      <c r="M232" s="46">
        <v>226.6</v>
      </c>
      <c r="N232" s="46"/>
      <c r="O232" s="45"/>
      <c r="P232" s="46"/>
      <c r="Q232" s="46"/>
      <c r="R232" s="46"/>
      <c r="S232" s="46"/>
      <c r="T232" s="46"/>
      <c r="U232" s="46"/>
    </row>
    <row r="233" spans="1:21">
      <c r="A233" s="42"/>
      <c r="B233" s="42"/>
      <c r="C233" s="42"/>
      <c r="D233" s="42">
        <v>121</v>
      </c>
      <c r="E233" s="158" t="s">
        <v>47</v>
      </c>
      <c r="F233" s="159"/>
      <c r="G233" s="159"/>
      <c r="H233" s="160"/>
      <c r="I233" s="98">
        <f>SUM(J233:U233)</f>
        <v>202</v>
      </c>
      <c r="J233" s="45"/>
      <c r="K233" s="45">
        <v>60</v>
      </c>
      <c r="L233" s="45">
        <v>26</v>
      </c>
      <c r="M233" s="46">
        <v>43</v>
      </c>
      <c r="N233" s="46"/>
      <c r="O233" s="45"/>
      <c r="P233" s="45"/>
      <c r="Q233" s="45"/>
      <c r="R233" s="45">
        <v>0</v>
      </c>
      <c r="S233" s="45">
        <v>0</v>
      </c>
      <c r="T233" s="45">
        <v>0</v>
      </c>
      <c r="U233" s="45">
        <f>43+30</f>
        <v>73</v>
      </c>
    </row>
    <row r="234" spans="1:21">
      <c r="A234" s="47"/>
      <c r="B234" s="47"/>
      <c r="C234" s="47"/>
      <c r="D234" s="47">
        <v>122</v>
      </c>
      <c r="E234" s="161" t="s">
        <v>48</v>
      </c>
      <c r="F234" s="162"/>
      <c r="G234" s="162"/>
      <c r="H234" s="163"/>
      <c r="I234" s="68"/>
      <c r="J234" s="48"/>
      <c r="K234" s="49"/>
      <c r="L234" s="50"/>
      <c r="M234" s="50"/>
      <c r="N234" s="50"/>
      <c r="O234" s="49"/>
      <c r="P234" s="50"/>
      <c r="Q234" s="50"/>
      <c r="R234" s="50"/>
      <c r="S234" s="50"/>
      <c r="T234" s="50"/>
      <c r="U234" s="50"/>
    </row>
    <row r="235" spans="1:21">
      <c r="A235" s="51"/>
      <c r="B235" s="51"/>
      <c r="C235" s="51"/>
      <c r="D235" s="51"/>
      <c r="E235" s="144" t="s">
        <v>49</v>
      </c>
      <c r="F235" s="145"/>
      <c r="G235" s="145"/>
      <c r="H235" s="146"/>
      <c r="I235" s="69">
        <f>SUM(J235:U235)</f>
        <v>121</v>
      </c>
      <c r="J235" s="45"/>
      <c r="K235" s="45">
        <v>40</v>
      </c>
      <c r="L235" s="45">
        <v>12</v>
      </c>
      <c r="M235" s="46">
        <v>26</v>
      </c>
      <c r="N235" s="46"/>
      <c r="O235" s="45"/>
      <c r="P235" s="45"/>
      <c r="Q235" s="45"/>
      <c r="R235" s="45">
        <v>0</v>
      </c>
      <c r="S235" s="45">
        <v>0</v>
      </c>
      <c r="T235" s="45">
        <v>0</v>
      </c>
      <c r="U235" s="45">
        <f>26+17</f>
        <v>43</v>
      </c>
    </row>
    <row r="236" spans="1:21">
      <c r="A236" s="42"/>
      <c r="B236" s="42"/>
      <c r="C236" s="42"/>
      <c r="D236" s="42">
        <v>124</v>
      </c>
      <c r="E236" s="147" t="s">
        <v>51</v>
      </c>
      <c r="F236" s="148"/>
      <c r="G236" s="148"/>
      <c r="H236" s="149"/>
      <c r="I236" s="98">
        <f>SUM(J236:U236)</f>
        <v>58</v>
      </c>
      <c r="J236" s="52"/>
      <c r="K236" s="52">
        <v>24</v>
      </c>
      <c r="L236" s="52"/>
      <c r="M236" s="53">
        <v>20</v>
      </c>
      <c r="N236" s="53"/>
      <c r="O236" s="52"/>
      <c r="P236" s="52"/>
      <c r="Q236" s="52"/>
      <c r="R236" s="52">
        <v>0</v>
      </c>
      <c r="S236" s="52">
        <v>0</v>
      </c>
      <c r="T236" s="52">
        <v>0</v>
      </c>
      <c r="U236" s="52">
        <f>12-8+10</f>
        <v>14</v>
      </c>
    </row>
    <row r="237" spans="1:21" ht="15" thickBot="1">
      <c r="A237" s="42"/>
      <c r="B237" s="42"/>
      <c r="C237" s="42"/>
      <c r="D237" s="70"/>
      <c r="E237" s="150" t="s">
        <v>63</v>
      </c>
      <c r="F237" s="150"/>
      <c r="G237" s="150"/>
      <c r="H237" s="150"/>
      <c r="I237" s="71">
        <f>SUM(I231:I236)</f>
        <v>5132</v>
      </c>
      <c r="J237" s="68">
        <f t="shared" ref="J237:U237" si="31">SUM(J231:J236)</f>
        <v>0</v>
      </c>
      <c r="K237" s="68">
        <f t="shared" si="31"/>
        <v>924</v>
      </c>
      <c r="L237" s="68">
        <f t="shared" si="31"/>
        <v>438</v>
      </c>
      <c r="M237" s="68">
        <f t="shared" si="31"/>
        <v>1076</v>
      </c>
      <c r="N237" s="71">
        <f t="shared" si="31"/>
        <v>0</v>
      </c>
      <c r="O237" s="68">
        <f t="shared" si="31"/>
        <v>0</v>
      </c>
      <c r="P237" s="68">
        <f t="shared" si="31"/>
        <v>0</v>
      </c>
      <c r="Q237" s="68">
        <f t="shared" si="31"/>
        <v>0</v>
      </c>
      <c r="R237" s="68">
        <f t="shared" si="31"/>
        <v>0</v>
      </c>
      <c r="S237" s="71">
        <f t="shared" si="31"/>
        <v>0</v>
      </c>
      <c r="T237" s="68">
        <f t="shared" si="31"/>
        <v>195.00000000000003</v>
      </c>
      <c r="U237" s="71">
        <f t="shared" si="31"/>
        <v>2499</v>
      </c>
    </row>
    <row r="238" spans="1:21">
      <c r="A238" s="62" t="s">
        <v>40</v>
      </c>
      <c r="B238" s="63" t="s">
        <v>41</v>
      </c>
      <c r="C238" s="64" t="s">
        <v>76</v>
      </c>
      <c r="D238" s="65"/>
      <c r="E238" s="66" t="s">
        <v>43</v>
      </c>
      <c r="F238" s="66"/>
      <c r="G238" s="66"/>
      <c r="H238" s="67"/>
      <c r="I238" s="153">
        <f>SUM(J238:U239)</f>
        <v>1090</v>
      </c>
      <c r="J238" s="151">
        <f t="shared" ref="J238:U238" si="32">SUM(J240:J244)</f>
        <v>0</v>
      </c>
      <c r="K238" s="151">
        <f t="shared" si="32"/>
        <v>0</v>
      </c>
      <c r="L238" s="151">
        <f t="shared" si="32"/>
        <v>0</v>
      </c>
      <c r="M238" s="151">
        <f t="shared" si="32"/>
        <v>565.4</v>
      </c>
      <c r="N238" s="153">
        <f t="shared" si="32"/>
        <v>0</v>
      </c>
      <c r="O238" s="151">
        <f t="shared" si="32"/>
        <v>0</v>
      </c>
      <c r="P238" s="151">
        <f t="shared" si="32"/>
        <v>0</v>
      </c>
      <c r="Q238" s="151">
        <f t="shared" si="32"/>
        <v>0</v>
      </c>
      <c r="R238" s="151">
        <f t="shared" si="32"/>
        <v>-220.4</v>
      </c>
      <c r="S238" s="151">
        <f t="shared" si="32"/>
        <v>745</v>
      </c>
      <c r="T238" s="151">
        <f t="shared" si="32"/>
        <v>0</v>
      </c>
      <c r="U238" s="153">
        <f t="shared" si="32"/>
        <v>0</v>
      </c>
    </row>
    <row r="239" spans="1:21" ht="15" thickBot="1">
      <c r="A239" s="35"/>
      <c r="B239" s="36"/>
      <c r="C239" s="37"/>
      <c r="D239" s="38"/>
      <c r="E239" s="39" t="s">
        <v>44</v>
      </c>
      <c r="F239" s="39"/>
      <c r="G239" s="39"/>
      <c r="H239" s="40"/>
      <c r="I239" s="154"/>
      <c r="J239" s="152"/>
      <c r="K239" s="152"/>
      <c r="L239" s="152"/>
      <c r="M239" s="152"/>
      <c r="N239" s="154"/>
      <c r="O239" s="152"/>
      <c r="P239" s="152"/>
      <c r="Q239" s="152"/>
      <c r="R239" s="152"/>
      <c r="S239" s="152"/>
      <c r="T239" s="152"/>
      <c r="U239" s="154"/>
    </row>
    <row r="240" spans="1:21">
      <c r="A240" s="41"/>
      <c r="B240" s="41"/>
      <c r="C240" s="41"/>
      <c r="D240" s="42">
        <v>111</v>
      </c>
      <c r="E240" s="155" t="s">
        <v>45</v>
      </c>
      <c r="F240" s="156"/>
      <c r="G240" s="156"/>
      <c r="H240" s="157"/>
      <c r="I240" s="68">
        <f>SUM(J240:U240)</f>
        <v>1000</v>
      </c>
      <c r="J240" s="43"/>
      <c r="K240" s="43"/>
      <c r="L240" s="43"/>
      <c r="M240" s="100">
        <v>520.6</v>
      </c>
      <c r="N240" s="44"/>
      <c r="O240" s="43"/>
      <c r="P240" s="43"/>
      <c r="Q240" s="43"/>
      <c r="R240" s="100">
        <v>-220.6</v>
      </c>
      <c r="S240" s="100">
        <v>700</v>
      </c>
      <c r="T240" s="43"/>
      <c r="U240" s="43"/>
    </row>
    <row r="241" spans="1:21">
      <c r="A241" s="41"/>
      <c r="B241" s="41"/>
      <c r="C241" s="41"/>
      <c r="D241" s="42">
        <v>113</v>
      </c>
      <c r="E241" s="158" t="s">
        <v>46</v>
      </c>
      <c r="F241" s="159"/>
      <c r="G241" s="159"/>
      <c r="H241" s="160"/>
      <c r="I241" s="68">
        <f>SUM(J241:U241)</f>
        <v>0</v>
      </c>
      <c r="J241" s="45"/>
      <c r="K241" s="45"/>
      <c r="L241" s="46"/>
      <c r="M241" s="101"/>
      <c r="N241" s="46"/>
      <c r="O241" s="45"/>
      <c r="P241" s="46"/>
      <c r="Q241" s="46"/>
      <c r="R241" s="101"/>
      <c r="S241" s="101"/>
      <c r="T241" s="46"/>
      <c r="U241" s="46"/>
    </row>
    <row r="242" spans="1:21">
      <c r="A242" s="42"/>
      <c r="B242" s="42"/>
      <c r="C242" s="42"/>
      <c r="D242" s="42">
        <v>121</v>
      </c>
      <c r="E242" s="158" t="s">
        <v>47</v>
      </c>
      <c r="F242" s="159"/>
      <c r="G242" s="159"/>
      <c r="H242" s="160"/>
      <c r="I242" s="98">
        <f>SUM(J242:U242)</f>
        <v>54</v>
      </c>
      <c r="J242" s="45"/>
      <c r="K242" s="45"/>
      <c r="L242" s="45"/>
      <c r="M242" s="101">
        <v>28</v>
      </c>
      <c r="N242" s="46"/>
      <c r="O242" s="46"/>
      <c r="P242" s="45"/>
      <c r="Q242" s="45"/>
      <c r="R242" s="101">
        <v>-1</v>
      </c>
      <c r="S242" s="101">
        <v>27</v>
      </c>
      <c r="T242" s="45"/>
      <c r="U242" s="45"/>
    </row>
    <row r="243" spans="1:21">
      <c r="A243" s="47"/>
      <c r="B243" s="47"/>
      <c r="C243" s="47"/>
      <c r="D243" s="47">
        <v>122</v>
      </c>
      <c r="E243" s="161" t="s">
        <v>48</v>
      </c>
      <c r="F243" s="162"/>
      <c r="G243" s="162"/>
      <c r="H243" s="163"/>
      <c r="I243" s="68"/>
      <c r="J243" s="48"/>
      <c r="K243" s="49"/>
      <c r="L243" s="50"/>
      <c r="M243" s="102"/>
      <c r="N243" s="50"/>
      <c r="O243" s="50"/>
      <c r="P243" s="50"/>
      <c r="Q243" s="50"/>
      <c r="R243" s="102"/>
      <c r="S243" s="102"/>
      <c r="T243" s="50"/>
      <c r="U243" s="50"/>
    </row>
    <row r="244" spans="1:21">
      <c r="A244" s="51"/>
      <c r="B244" s="51"/>
      <c r="C244" s="51"/>
      <c r="D244" s="51"/>
      <c r="E244" s="144" t="s">
        <v>49</v>
      </c>
      <c r="F244" s="145"/>
      <c r="G244" s="145"/>
      <c r="H244" s="146"/>
      <c r="I244" s="69">
        <f>SUM(J244:U244)</f>
        <v>36</v>
      </c>
      <c r="J244" s="45"/>
      <c r="K244" s="45"/>
      <c r="L244" s="45"/>
      <c r="M244" s="101">
        <v>16.8</v>
      </c>
      <c r="N244" s="46"/>
      <c r="O244" s="46"/>
      <c r="P244" s="45"/>
      <c r="Q244" s="45"/>
      <c r="R244" s="101">
        <f>18-16.8</f>
        <v>1.1999999999999993</v>
      </c>
      <c r="S244" s="101">
        <v>18</v>
      </c>
      <c r="T244" s="45"/>
      <c r="U244" s="45"/>
    </row>
    <row r="245" spans="1:21">
      <c r="A245" s="42"/>
      <c r="B245" s="42"/>
      <c r="C245" s="42"/>
      <c r="D245" s="42">
        <v>124</v>
      </c>
      <c r="E245" s="147" t="s">
        <v>51</v>
      </c>
      <c r="F245" s="148"/>
      <c r="G245" s="148"/>
      <c r="H245" s="149"/>
      <c r="I245" s="98">
        <f>SUM(J245:U245)</f>
        <v>16</v>
      </c>
      <c r="J245" s="52"/>
      <c r="K245" s="52"/>
      <c r="L245" s="52"/>
      <c r="M245" s="103">
        <v>10.6</v>
      </c>
      <c r="N245" s="53"/>
      <c r="O245" s="53"/>
      <c r="P245" s="52"/>
      <c r="Q245" s="52"/>
      <c r="R245" s="103">
        <v>-2.6</v>
      </c>
      <c r="S245" s="103">
        <v>8</v>
      </c>
      <c r="T245" s="52"/>
      <c r="U245" s="52"/>
    </row>
    <row r="246" spans="1:21">
      <c r="A246" s="42"/>
      <c r="B246" s="42"/>
      <c r="C246" s="42"/>
      <c r="D246" s="70"/>
      <c r="E246" s="150" t="s">
        <v>63</v>
      </c>
      <c r="F246" s="150"/>
      <c r="G246" s="150"/>
      <c r="H246" s="150"/>
      <c r="I246" s="71">
        <f>SUM(I240:I245)</f>
        <v>1106</v>
      </c>
      <c r="J246" s="68">
        <f t="shared" ref="J246:U246" si="33">SUM(J240:J245)</f>
        <v>0</v>
      </c>
      <c r="K246" s="68">
        <f t="shared" si="33"/>
        <v>0</v>
      </c>
      <c r="L246" s="68">
        <f t="shared" si="33"/>
        <v>0</v>
      </c>
      <c r="M246" s="68">
        <f t="shared" si="33"/>
        <v>576</v>
      </c>
      <c r="N246" s="71">
        <f t="shared" si="33"/>
        <v>0</v>
      </c>
      <c r="O246" s="68">
        <f t="shared" si="33"/>
        <v>0</v>
      </c>
      <c r="P246" s="68">
        <f t="shared" si="33"/>
        <v>0</v>
      </c>
      <c r="Q246" s="68">
        <f t="shared" si="33"/>
        <v>0</v>
      </c>
      <c r="R246" s="68">
        <f t="shared" si="33"/>
        <v>-223</v>
      </c>
      <c r="S246" s="71">
        <f t="shared" si="33"/>
        <v>753</v>
      </c>
      <c r="T246" s="68">
        <f t="shared" si="33"/>
        <v>0</v>
      </c>
      <c r="U246" s="71">
        <f t="shared" si="33"/>
        <v>0</v>
      </c>
    </row>
    <row r="247" spans="1:21">
      <c r="A247" s="42"/>
      <c r="B247" s="42"/>
      <c r="C247" s="42"/>
      <c r="D247" s="70"/>
      <c r="E247" s="150" t="s">
        <v>64</v>
      </c>
      <c r="F247" s="150"/>
      <c r="G247" s="150"/>
      <c r="H247" s="150"/>
      <c r="I247" s="68">
        <f>I228+I237+I246</f>
        <v>58300</v>
      </c>
      <c r="J247" s="68">
        <f t="shared" ref="J247:U247" si="34">J228+J237+J246</f>
        <v>3522</v>
      </c>
      <c r="K247" s="68">
        <f t="shared" si="34"/>
        <v>5500</v>
      </c>
      <c r="L247" s="68">
        <f t="shared" si="34"/>
        <v>3073</v>
      </c>
      <c r="M247" s="68">
        <f t="shared" si="34"/>
        <v>7506</v>
      </c>
      <c r="N247" s="68">
        <f t="shared" si="34"/>
        <v>8945</v>
      </c>
      <c r="O247" s="68">
        <f t="shared" si="34"/>
        <v>4771</v>
      </c>
      <c r="P247" s="68">
        <f t="shared" si="34"/>
        <v>2728</v>
      </c>
      <c r="Q247" s="68">
        <f t="shared" si="34"/>
        <v>3833</v>
      </c>
      <c r="R247" s="68">
        <f t="shared" si="34"/>
        <v>3461</v>
      </c>
      <c r="S247" s="68">
        <f t="shared" si="34"/>
        <v>4686</v>
      </c>
      <c r="T247" s="68">
        <f t="shared" si="34"/>
        <v>4249</v>
      </c>
      <c r="U247" s="68">
        <f t="shared" si="34"/>
        <v>6026</v>
      </c>
    </row>
    <row r="248" spans="1:21">
      <c r="A248" s="33"/>
      <c r="B248" s="33"/>
      <c r="C248" s="33"/>
      <c r="D248" s="72"/>
      <c r="E248" s="73"/>
      <c r="F248" s="73"/>
      <c r="G248" s="73"/>
      <c r="H248" s="73"/>
      <c r="I248" s="74"/>
      <c r="J248" s="74"/>
      <c r="K248" s="74"/>
      <c r="L248" s="74"/>
      <c r="M248" s="74"/>
      <c r="N248" s="74"/>
      <c r="O248" s="74"/>
      <c r="P248" s="74"/>
      <c r="Q248" s="74"/>
      <c r="R248" s="74"/>
      <c r="S248" s="74"/>
      <c r="T248" s="74"/>
      <c r="U248" s="76"/>
    </row>
    <row r="249" spans="1:21">
      <c r="A249" s="3" t="s">
        <v>65</v>
      </c>
      <c r="B249" s="3"/>
      <c r="C249" s="3"/>
      <c r="D249" s="3"/>
      <c r="E249" s="3"/>
      <c r="F249" s="3"/>
      <c r="G249" s="3"/>
      <c r="H249" s="3"/>
      <c r="I249" s="3"/>
      <c r="J249" s="27"/>
      <c r="K249" s="27"/>
      <c r="L249" s="27"/>
      <c r="M249" s="3"/>
      <c r="N249" s="27" t="s">
        <v>66</v>
      </c>
      <c r="O249" s="27"/>
      <c r="P249" s="27"/>
      <c r="Q249" s="25"/>
      <c r="R249" s="3"/>
      <c r="S249" s="3"/>
      <c r="T249" s="3"/>
      <c r="U249" s="3"/>
    </row>
    <row r="250" spans="1:21">
      <c r="A250" s="3" t="s">
        <v>67</v>
      </c>
      <c r="B250" s="3"/>
      <c r="C250" s="3"/>
      <c r="D250" s="3"/>
      <c r="E250" s="3"/>
      <c r="F250" s="3"/>
      <c r="G250" s="3"/>
      <c r="H250" s="3"/>
      <c r="I250" s="3"/>
      <c r="J250" s="25" t="s">
        <v>68</v>
      </c>
      <c r="K250" s="25"/>
      <c r="L250" s="25"/>
      <c r="M250" s="3"/>
      <c r="N250" s="25" t="s">
        <v>69</v>
      </c>
      <c r="O250" s="25"/>
      <c r="P250" s="25"/>
      <c r="Q250" s="25"/>
      <c r="R250" s="25"/>
      <c r="S250" s="3"/>
      <c r="T250" s="3"/>
      <c r="U250" s="3"/>
    </row>
    <row r="251" spans="1:21">
      <c r="A251" s="3" t="s">
        <v>70</v>
      </c>
      <c r="B251" s="3"/>
      <c r="C251" s="3"/>
      <c r="D251" s="3"/>
      <c r="E251" s="3"/>
      <c r="F251" s="3"/>
      <c r="G251" s="3"/>
      <c r="H251" s="3"/>
      <c r="I251" s="3"/>
      <c r="J251" s="27"/>
      <c r="K251" s="27"/>
      <c r="L251" s="27"/>
      <c r="M251" s="3"/>
      <c r="N251" s="27" t="s">
        <v>71</v>
      </c>
      <c r="O251" s="27"/>
      <c r="P251" s="27"/>
      <c r="Q251" s="25"/>
      <c r="R251" s="3"/>
      <c r="S251" s="3"/>
      <c r="T251" s="3"/>
      <c r="U251" s="3"/>
    </row>
    <row r="252" spans="1:21">
      <c r="A252" s="3" t="s">
        <v>72</v>
      </c>
      <c r="B252" s="3"/>
      <c r="C252" s="3"/>
      <c r="D252" s="3"/>
      <c r="E252" s="3"/>
      <c r="F252" s="3"/>
      <c r="G252" s="3"/>
      <c r="H252" s="3"/>
      <c r="I252" s="3"/>
      <c r="J252" s="25" t="s">
        <v>68</v>
      </c>
      <c r="K252" s="25"/>
      <c r="L252" s="25"/>
      <c r="M252" s="3"/>
      <c r="N252" s="25" t="s">
        <v>69</v>
      </c>
      <c r="O252" s="25"/>
      <c r="P252" s="25"/>
      <c r="Q252" s="25"/>
      <c r="R252" s="3"/>
      <c r="S252" s="3"/>
      <c r="T252" s="3"/>
      <c r="U252" s="3"/>
    </row>
    <row r="253" spans="1:21">
      <c r="D253" s="3"/>
      <c r="E253" s="3"/>
      <c r="F253" s="3"/>
      <c r="G253" s="3"/>
      <c r="H253" s="3"/>
      <c r="I253" s="3"/>
      <c r="J253" s="25"/>
      <c r="K253" s="25"/>
      <c r="L253" s="25"/>
      <c r="M253" s="25"/>
      <c r="N253" s="25"/>
      <c r="O253" s="25"/>
      <c r="P253" s="25"/>
      <c r="Q253" s="25"/>
      <c r="R253" s="3"/>
      <c r="S253" s="3"/>
      <c r="T253" s="3"/>
      <c r="U253" s="3"/>
    </row>
    <row r="254" spans="1:21">
      <c r="D254" s="3"/>
      <c r="E254" s="3"/>
      <c r="F254" s="3"/>
      <c r="G254" s="3"/>
      <c r="H254" s="3"/>
      <c r="I254" s="3"/>
      <c r="J254" s="25"/>
      <c r="K254" s="25"/>
      <c r="L254" s="25"/>
      <c r="M254" s="25"/>
      <c r="N254" s="25"/>
      <c r="O254" s="25"/>
      <c r="P254" s="25"/>
      <c r="Q254" s="25"/>
      <c r="R254" s="25"/>
      <c r="S254" s="3"/>
      <c r="T254" s="3"/>
      <c r="U254" s="3"/>
    </row>
    <row r="255" spans="1:21">
      <c r="D255" s="3"/>
      <c r="E255" s="3"/>
      <c r="F255" s="3"/>
      <c r="G255" s="3"/>
      <c r="H255" s="3"/>
      <c r="I255" s="3"/>
      <c r="J255" s="25"/>
      <c r="K255" s="25"/>
      <c r="L255" s="25"/>
      <c r="M255" s="25"/>
      <c r="N255" s="25"/>
      <c r="O255" s="25"/>
      <c r="P255" s="25"/>
      <c r="Q255" s="25"/>
      <c r="R255" s="3"/>
      <c r="S255" s="3"/>
      <c r="T255" s="3"/>
      <c r="U255" s="3"/>
    </row>
    <row r="256" spans="1:21">
      <c r="D256" s="3"/>
      <c r="E256" s="3"/>
      <c r="F256" s="3"/>
      <c r="G256" s="3"/>
      <c r="H256" s="3"/>
      <c r="I256" s="3"/>
      <c r="J256" s="25"/>
      <c r="K256" s="25"/>
      <c r="L256" s="25"/>
      <c r="M256" s="3"/>
      <c r="N256" s="25"/>
      <c r="O256" s="25"/>
      <c r="P256" s="25"/>
      <c r="Q256" s="25"/>
      <c r="R256" s="3"/>
      <c r="S256" s="3"/>
      <c r="T256" s="3"/>
      <c r="U256" s="3"/>
    </row>
    <row r="257" spans="1:2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205" t="s">
        <v>4</v>
      </c>
      <c r="M257" s="205"/>
      <c r="N257" s="205"/>
      <c r="O257" s="205"/>
      <c r="P257" s="205"/>
      <c r="Q257" s="205"/>
      <c r="R257" s="205"/>
      <c r="S257" s="205"/>
      <c r="T257" s="205"/>
      <c r="U257" s="205"/>
    </row>
    <row r="258" spans="1:2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205" t="s">
        <v>5</v>
      </c>
      <c r="M258" s="205"/>
      <c r="N258" s="205"/>
      <c r="O258" s="205"/>
      <c r="P258" s="205"/>
      <c r="Q258" s="205"/>
      <c r="R258" s="205"/>
      <c r="S258" s="205"/>
      <c r="T258" s="205"/>
      <c r="U258" s="205"/>
    </row>
    <row r="259" spans="1:2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205" t="s">
        <v>6</v>
      </c>
      <c r="M259" s="205"/>
      <c r="N259" s="205"/>
      <c r="O259" s="205"/>
      <c r="P259" s="205"/>
      <c r="Q259" s="205"/>
      <c r="R259" s="205"/>
      <c r="S259" s="205"/>
      <c r="T259" s="205"/>
      <c r="U259" s="205"/>
    </row>
    <row r="260" spans="1:2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5"/>
      <c r="M260" s="5"/>
      <c r="N260" s="5"/>
      <c r="O260" s="5"/>
      <c r="P260" s="206"/>
      <c r="Q260" s="206"/>
      <c r="R260" s="206"/>
      <c r="S260" s="207" t="s">
        <v>7</v>
      </c>
      <c r="T260" s="207"/>
      <c r="U260" s="207"/>
    </row>
    <row r="261" spans="1:2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5"/>
      <c r="M261" s="5"/>
      <c r="N261" s="5"/>
      <c r="O261" s="5"/>
      <c r="P261" s="177" t="s">
        <v>8</v>
      </c>
      <c r="Q261" s="177"/>
      <c r="R261" s="177"/>
      <c r="S261" s="178" t="s">
        <v>9</v>
      </c>
      <c r="T261" s="178"/>
      <c r="U261" s="5"/>
    </row>
    <row r="262" spans="1:2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5"/>
      <c r="M262" s="5"/>
      <c r="N262" s="5"/>
      <c r="O262" s="5"/>
      <c r="P262" s="179" t="s">
        <v>81</v>
      </c>
      <c r="Q262" s="179"/>
      <c r="R262" s="179"/>
      <c r="S262" s="6"/>
      <c r="T262" s="6"/>
      <c r="U262" s="6"/>
    </row>
    <row r="263" spans="1:21">
      <c r="A263" s="7"/>
      <c r="B263" s="8"/>
      <c r="C263" s="8"/>
      <c r="D263" s="8"/>
      <c r="E263" s="8" t="s">
        <v>10</v>
      </c>
      <c r="F263" s="8"/>
      <c r="G263" s="9"/>
      <c r="H263" s="7"/>
      <c r="I263" s="7"/>
      <c r="J263" s="7"/>
      <c r="K263" s="7"/>
      <c r="L263" s="7"/>
      <c r="M263" s="7"/>
      <c r="N263" s="7"/>
      <c r="O263" s="7"/>
      <c r="P263" s="10" t="s">
        <v>11</v>
      </c>
      <c r="Q263" s="10"/>
      <c r="R263" s="10"/>
      <c r="S263" s="7"/>
      <c r="T263" s="7"/>
      <c r="U263" s="7"/>
    </row>
    <row r="264" spans="1:21">
      <c r="A264" s="11" t="s">
        <v>12</v>
      </c>
      <c r="B264" s="11"/>
      <c r="C264" s="11"/>
      <c r="D264" s="12" t="s">
        <v>13</v>
      </c>
      <c r="E264" s="11" t="s">
        <v>14</v>
      </c>
      <c r="F264" s="13"/>
      <c r="G264" s="13"/>
      <c r="H264" s="13"/>
      <c r="I264" s="13"/>
      <c r="J264" s="13"/>
      <c r="K264" s="13"/>
      <c r="L264" s="13"/>
      <c r="M264" s="13"/>
      <c r="N264" s="14"/>
      <c r="O264" s="14"/>
      <c r="P264" s="14"/>
      <c r="Q264" s="13"/>
      <c r="R264" s="13"/>
      <c r="S264" s="13"/>
      <c r="T264" s="13"/>
      <c r="U264" s="13"/>
    </row>
    <row r="265" spans="1:21">
      <c r="A265" s="11" t="s">
        <v>15</v>
      </c>
      <c r="B265" s="15"/>
      <c r="C265" s="15"/>
      <c r="D265" s="15"/>
      <c r="E265" s="16" t="s">
        <v>73</v>
      </c>
      <c r="F265" s="13"/>
      <c r="G265" s="13"/>
      <c r="H265" s="13"/>
      <c r="I265" s="13"/>
      <c r="J265" s="13"/>
      <c r="K265" s="13"/>
      <c r="L265" s="13"/>
      <c r="M265" s="13"/>
      <c r="N265" s="14"/>
      <c r="O265" s="14"/>
      <c r="P265" s="14"/>
      <c r="Q265" s="13"/>
      <c r="R265" s="13"/>
      <c r="S265" s="13"/>
      <c r="T265" s="13"/>
      <c r="U265" s="13"/>
    </row>
    <row r="266" spans="1:21">
      <c r="A266" s="11" t="s">
        <v>16</v>
      </c>
      <c r="B266" s="11"/>
      <c r="C266" s="11"/>
      <c r="D266" s="11"/>
      <c r="E266" s="11" t="s">
        <v>17</v>
      </c>
      <c r="F266" s="17"/>
      <c r="G266" s="17"/>
      <c r="H266" s="17"/>
      <c r="I266" s="17"/>
      <c r="J266" s="17"/>
      <c r="K266" s="13"/>
      <c r="L266" s="13"/>
      <c r="M266" s="13"/>
      <c r="N266" s="14"/>
      <c r="O266" s="14"/>
      <c r="P266" s="14"/>
      <c r="Q266" s="13"/>
      <c r="R266" s="13"/>
      <c r="S266" s="13"/>
      <c r="T266" s="13"/>
      <c r="U266" s="13"/>
    </row>
    <row r="267" spans="1:21">
      <c r="A267" s="11" t="s">
        <v>18</v>
      </c>
      <c r="B267" s="11"/>
      <c r="C267" s="11"/>
      <c r="D267" s="11"/>
      <c r="E267" s="11"/>
      <c r="F267" s="18" t="s">
        <v>19</v>
      </c>
      <c r="G267" s="18"/>
      <c r="H267" s="14"/>
      <c r="I267" s="19"/>
      <c r="J267" s="14"/>
      <c r="K267" s="17"/>
      <c r="L267" s="17"/>
      <c r="M267" s="13"/>
      <c r="N267" s="14"/>
      <c r="O267" s="14"/>
      <c r="P267" s="14"/>
      <c r="Q267" s="20"/>
      <c r="R267" s="13"/>
      <c r="S267" s="13"/>
      <c r="T267" s="13"/>
      <c r="U267" s="13"/>
    </row>
    <row r="268" spans="1:21" ht="15" thickBot="1">
      <c r="A268" s="21" t="s">
        <v>20</v>
      </c>
      <c r="B268" s="21"/>
      <c r="C268" s="21"/>
      <c r="D268" s="21"/>
      <c r="E268" s="21"/>
      <c r="F268" s="22" t="s">
        <v>21</v>
      </c>
      <c r="G268" s="22"/>
      <c r="H268" s="14"/>
      <c r="I268" s="19"/>
      <c r="J268" s="14"/>
      <c r="K268" s="14"/>
      <c r="L268" s="14"/>
      <c r="M268" s="19"/>
      <c r="N268" s="180"/>
      <c r="O268" s="180"/>
      <c r="P268" s="180"/>
      <c r="Q268" s="180"/>
      <c r="R268" s="13"/>
      <c r="S268" s="13"/>
      <c r="T268" s="13"/>
      <c r="U268" s="13"/>
    </row>
    <row r="269" spans="1:21">
      <c r="A269" s="181" t="s">
        <v>22</v>
      </c>
      <c r="B269" s="184" t="s">
        <v>23</v>
      </c>
      <c r="C269" s="184" t="s">
        <v>24</v>
      </c>
      <c r="D269" s="187" t="s">
        <v>25</v>
      </c>
      <c r="E269" s="23"/>
      <c r="F269" s="23"/>
      <c r="G269" s="23"/>
      <c r="H269" s="24"/>
      <c r="I269" s="190" t="s">
        <v>74</v>
      </c>
      <c r="J269" s="193" t="s">
        <v>26</v>
      </c>
      <c r="K269" s="194"/>
      <c r="L269" s="194"/>
      <c r="M269" s="194"/>
      <c r="N269" s="194"/>
      <c r="O269" s="194"/>
      <c r="P269" s="194"/>
      <c r="Q269" s="194"/>
      <c r="R269" s="194"/>
      <c r="S269" s="194"/>
      <c r="T269" s="194"/>
      <c r="U269" s="195"/>
    </row>
    <row r="270" spans="1:21">
      <c r="A270" s="182"/>
      <c r="B270" s="185"/>
      <c r="C270" s="185"/>
      <c r="D270" s="188"/>
      <c r="E270" s="25"/>
      <c r="F270" s="25" t="s">
        <v>27</v>
      </c>
      <c r="G270" s="25"/>
      <c r="H270" s="26"/>
      <c r="I270" s="191"/>
      <c r="J270" s="196" t="s">
        <v>28</v>
      </c>
      <c r="K270" s="196" t="s">
        <v>29</v>
      </c>
      <c r="L270" s="199" t="s">
        <v>30</v>
      </c>
      <c r="M270" s="199" t="s">
        <v>31</v>
      </c>
      <c r="N270" s="199" t="s">
        <v>32</v>
      </c>
      <c r="O270" s="196" t="s">
        <v>33</v>
      </c>
      <c r="P270" s="196" t="s">
        <v>34</v>
      </c>
      <c r="Q270" s="196" t="s">
        <v>35</v>
      </c>
      <c r="R270" s="196" t="s">
        <v>36</v>
      </c>
      <c r="S270" s="196" t="s">
        <v>37</v>
      </c>
      <c r="T270" s="196" t="s">
        <v>38</v>
      </c>
      <c r="U270" s="202" t="s">
        <v>39</v>
      </c>
    </row>
    <row r="271" spans="1:21">
      <c r="A271" s="182"/>
      <c r="B271" s="185"/>
      <c r="C271" s="185"/>
      <c r="D271" s="188"/>
      <c r="E271" s="25"/>
      <c r="F271" s="25"/>
      <c r="G271" s="25"/>
      <c r="H271" s="26"/>
      <c r="I271" s="191"/>
      <c r="J271" s="197"/>
      <c r="K271" s="197"/>
      <c r="L271" s="200"/>
      <c r="M271" s="200"/>
      <c r="N271" s="200"/>
      <c r="O271" s="197"/>
      <c r="P271" s="197"/>
      <c r="Q271" s="197"/>
      <c r="R271" s="197"/>
      <c r="S271" s="197"/>
      <c r="T271" s="197"/>
      <c r="U271" s="203"/>
    </row>
    <row r="272" spans="1:21">
      <c r="A272" s="183"/>
      <c r="B272" s="186"/>
      <c r="C272" s="186"/>
      <c r="D272" s="189"/>
      <c r="E272" s="27"/>
      <c r="F272" s="27"/>
      <c r="G272" s="27"/>
      <c r="H272" s="28"/>
      <c r="I272" s="192"/>
      <c r="J272" s="198"/>
      <c r="K272" s="198"/>
      <c r="L272" s="201"/>
      <c r="M272" s="201"/>
      <c r="N272" s="201"/>
      <c r="O272" s="198"/>
      <c r="P272" s="198"/>
      <c r="Q272" s="198"/>
      <c r="R272" s="198"/>
      <c r="S272" s="198"/>
      <c r="T272" s="198"/>
      <c r="U272" s="204"/>
    </row>
    <row r="273" spans="1:21" ht="14.55" customHeight="1">
      <c r="A273" s="29" t="s">
        <v>40</v>
      </c>
      <c r="B273" s="30" t="s">
        <v>41</v>
      </c>
      <c r="C273" s="31" t="s">
        <v>42</v>
      </c>
      <c r="D273" s="32"/>
      <c r="E273" s="33" t="s">
        <v>43</v>
      </c>
      <c r="F273" s="33"/>
      <c r="G273" s="33"/>
      <c r="H273" s="34"/>
      <c r="I273" s="173">
        <f>SUM(J273:U274)</f>
        <v>52062</v>
      </c>
      <c r="J273" s="173">
        <f>SUM(J275:J290)</f>
        <v>3522</v>
      </c>
      <c r="K273" s="173">
        <f t="shared" ref="K273:U273" si="35">SUM(K275:K290)</f>
        <v>4576</v>
      </c>
      <c r="L273" s="176">
        <f t="shared" si="35"/>
        <v>2635</v>
      </c>
      <c r="M273" s="176">
        <f t="shared" si="35"/>
        <v>5854</v>
      </c>
      <c r="N273" s="176">
        <f t="shared" si="35"/>
        <v>2452.1</v>
      </c>
      <c r="O273" s="173">
        <f t="shared" si="35"/>
        <v>11263.9</v>
      </c>
      <c r="P273" s="173">
        <f t="shared" si="35"/>
        <v>2728</v>
      </c>
      <c r="Q273" s="173">
        <f t="shared" si="35"/>
        <v>3833</v>
      </c>
      <c r="R273" s="173">
        <f t="shared" si="35"/>
        <v>3684</v>
      </c>
      <c r="S273" s="173">
        <f t="shared" si="35"/>
        <v>3933</v>
      </c>
      <c r="T273" s="173">
        <f t="shared" si="35"/>
        <v>4054</v>
      </c>
      <c r="U273" s="174">
        <f t="shared" si="35"/>
        <v>3527</v>
      </c>
    </row>
    <row r="274" spans="1:21" ht="14.55" customHeight="1" thickBot="1">
      <c r="A274" s="35"/>
      <c r="B274" s="36"/>
      <c r="C274" s="37"/>
      <c r="D274" s="38"/>
      <c r="E274" s="39" t="s">
        <v>44</v>
      </c>
      <c r="F274" s="39"/>
      <c r="G274" s="39"/>
      <c r="H274" s="40"/>
      <c r="I274" s="152"/>
      <c r="J274" s="152"/>
      <c r="K274" s="152"/>
      <c r="L274" s="154"/>
      <c r="M274" s="154"/>
      <c r="N274" s="154"/>
      <c r="O274" s="152"/>
      <c r="P274" s="152"/>
      <c r="Q274" s="152"/>
      <c r="R274" s="152"/>
      <c r="S274" s="152"/>
      <c r="T274" s="152"/>
      <c r="U274" s="175"/>
    </row>
    <row r="275" spans="1:21">
      <c r="A275" s="41"/>
      <c r="B275" s="41"/>
      <c r="C275" s="41"/>
      <c r="D275" s="42">
        <v>111</v>
      </c>
      <c r="E275" s="155" t="s">
        <v>45</v>
      </c>
      <c r="F275" s="156"/>
      <c r="G275" s="156"/>
      <c r="H275" s="157"/>
      <c r="I275" s="71">
        <f>SUM(J275:U275)</f>
        <v>38088</v>
      </c>
      <c r="J275" s="43">
        <v>3174</v>
      </c>
      <c r="K275" s="44">
        <f>3174-910</f>
        <v>2264</v>
      </c>
      <c r="L275" s="43">
        <v>2150</v>
      </c>
      <c r="M275" s="44">
        <f>3174+58+1819-2226</f>
        <v>2825</v>
      </c>
      <c r="N275" s="100">
        <f>4000+12+1649-3921</f>
        <v>1740</v>
      </c>
      <c r="O275" s="43">
        <f>3500+12+469+3921</f>
        <v>7902</v>
      </c>
      <c r="P275" s="43">
        <f>2034+13</f>
        <v>2047</v>
      </c>
      <c r="Q275" s="43">
        <f>3186+12</f>
        <v>3198</v>
      </c>
      <c r="R275" s="43">
        <f>3183+16</f>
        <v>3199</v>
      </c>
      <c r="S275" s="43">
        <f>3174+24</f>
        <v>3198</v>
      </c>
      <c r="T275" s="43">
        <f>3174+25</f>
        <v>3199</v>
      </c>
      <c r="U275" s="43">
        <f>3174+18</f>
        <v>3192</v>
      </c>
    </row>
    <row r="276" spans="1:21">
      <c r="A276" s="41"/>
      <c r="B276" s="41"/>
      <c r="C276" s="41"/>
      <c r="D276" s="42">
        <v>113</v>
      </c>
      <c r="E276" s="158" t="s">
        <v>46</v>
      </c>
      <c r="F276" s="159"/>
      <c r="G276" s="159"/>
      <c r="H276" s="160"/>
      <c r="I276" s="71">
        <f>SUM(J276:U276)</f>
        <v>2620</v>
      </c>
      <c r="J276" s="45"/>
      <c r="K276" s="46"/>
      <c r="L276" s="46"/>
      <c r="M276" s="46">
        <v>1320</v>
      </c>
      <c r="N276" s="101">
        <f>863-763</f>
        <v>100</v>
      </c>
      <c r="O276" s="46">
        <v>763</v>
      </c>
      <c r="P276" s="46">
        <v>317</v>
      </c>
      <c r="Q276" s="46">
        <v>120</v>
      </c>
      <c r="R276" s="46"/>
      <c r="S276" s="46"/>
      <c r="T276" s="46"/>
      <c r="U276" s="46"/>
    </row>
    <row r="277" spans="1:21">
      <c r="A277" s="42"/>
      <c r="B277" s="42"/>
      <c r="C277" s="42"/>
      <c r="D277" s="42">
        <v>121</v>
      </c>
      <c r="E277" s="158" t="s">
        <v>47</v>
      </c>
      <c r="F277" s="159"/>
      <c r="G277" s="159"/>
      <c r="H277" s="160"/>
      <c r="I277" s="108">
        <f>SUM(J277:U277)</f>
        <v>2063</v>
      </c>
      <c r="J277" s="45">
        <v>172</v>
      </c>
      <c r="K277" s="46">
        <f>172-44</f>
        <v>128</v>
      </c>
      <c r="L277" s="45">
        <v>95</v>
      </c>
      <c r="M277" s="46">
        <f>293-145</f>
        <v>148</v>
      </c>
      <c r="N277" s="101">
        <f>216+145-276</f>
        <v>85</v>
      </c>
      <c r="O277" s="45">
        <f>189+276</f>
        <v>465</v>
      </c>
      <c r="P277" s="45">
        <v>110</v>
      </c>
      <c r="Q277" s="45">
        <v>172</v>
      </c>
      <c r="R277" s="45">
        <v>172</v>
      </c>
      <c r="S277" s="45">
        <v>172</v>
      </c>
      <c r="T277" s="45">
        <v>172</v>
      </c>
      <c r="U277" s="45">
        <v>172</v>
      </c>
    </row>
    <row r="278" spans="1:21">
      <c r="A278" s="47"/>
      <c r="B278" s="47"/>
      <c r="C278" s="47"/>
      <c r="D278" s="47">
        <v>122</v>
      </c>
      <c r="E278" s="161" t="s">
        <v>48</v>
      </c>
      <c r="F278" s="162"/>
      <c r="G278" s="162"/>
      <c r="H278" s="163"/>
      <c r="I278" s="108"/>
      <c r="J278" s="48"/>
      <c r="K278" s="50"/>
      <c r="L278" s="50"/>
      <c r="M278" s="50"/>
      <c r="N278" s="102"/>
      <c r="O278" s="50"/>
      <c r="P278" s="50"/>
      <c r="Q278" s="50"/>
      <c r="R278" s="50"/>
      <c r="S278" s="50"/>
      <c r="T278" s="50"/>
      <c r="U278" s="50"/>
    </row>
    <row r="279" spans="1:21">
      <c r="A279" s="51"/>
      <c r="B279" s="51"/>
      <c r="C279" s="51"/>
      <c r="D279" s="51"/>
      <c r="E279" s="144" t="s">
        <v>49</v>
      </c>
      <c r="F279" s="145"/>
      <c r="G279" s="145"/>
      <c r="H279" s="146"/>
      <c r="I279" s="75">
        <f>SUM(J279:U279)</f>
        <v>1201</v>
      </c>
      <c r="J279" s="45">
        <v>100</v>
      </c>
      <c r="K279" s="46">
        <f>100-22</f>
        <v>78</v>
      </c>
      <c r="L279" s="45">
        <v>61</v>
      </c>
      <c r="M279" s="46">
        <f>161-63</f>
        <v>98</v>
      </c>
      <c r="N279" s="101">
        <f>126+63-138</f>
        <v>51</v>
      </c>
      <c r="O279" s="45">
        <f>111+138</f>
        <v>249</v>
      </c>
      <c r="P279" s="45">
        <v>64</v>
      </c>
      <c r="Q279" s="45">
        <v>100</v>
      </c>
      <c r="R279" s="45">
        <v>100</v>
      </c>
      <c r="S279" s="45">
        <v>100</v>
      </c>
      <c r="T279" s="45">
        <v>100</v>
      </c>
      <c r="U279" s="45">
        <v>100</v>
      </c>
    </row>
    <row r="280" spans="1:21">
      <c r="A280" s="42"/>
      <c r="B280" s="42"/>
      <c r="C280" s="42"/>
      <c r="D280" s="42">
        <v>123</v>
      </c>
      <c r="E280" s="161" t="s">
        <v>50</v>
      </c>
      <c r="F280" s="162"/>
      <c r="G280" s="162"/>
      <c r="H280" s="163"/>
      <c r="I280" s="108">
        <f>J280+K280+L280+M280+N280+O280+P280+Q280+R280+S280+T280+U280</f>
        <v>18</v>
      </c>
      <c r="J280" s="45"/>
      <c r="K280" s="46"/>
      <c r="L280" s="46"/>
      <c r="M280" s="46">
        <v>0</v>
      </c>
      <c r="N280" s="101">
        <f>18-18</f>
        <v>0</v>
      </c>
      <c r="O280" s="46">
        <v>18</v>
      </c>
      <c r="P280" s="46"/>
      <c r="Q280" s="46"/>
      <c r="R280" s="46"/>
      <c r="S280" s="46"/>
      <c r="T280" s="46"/>
      <c r="U280" s="46"/>
    </row>
    <row r="281" spans="1:21">
      <c r="A281" s="51"/>
      <c r="B281" s="51"/>
      <c r="C281" s="51"/>
      <c r="D281" s="51">
        <v>124</v>
      </c>
      <c r="E281" s="147" t="s">
        <v>51</v>
      </c>
      <c r="F281" s="148"/>
      <c r="G281" s="148"/>
      <c r="H281" s="149"/>
      <c r="I281" s="71">
        <f>SUM(J281:U281)</f>
        <v>757</v>
      </c>
      <c r="J281" s="53">
        <v>63</v>
      </c>
      <c r="K281" s="53">
        <f>63-20</f>
        <v>43</v>
      </c>
      <c r="L281" s="53">
        <v>32</v>
      </c>
      <c r="M281" s="53">
        <f>114-39</f>
        <v>75</v>
      </c>
      <c r="N281" s="103">
        <f>80+39-88</f>
        <v>31</v>
      </c>
      <c r="O281" s="53">
        <f>70+88</f>
        <v>158</v>
      </c>
      <c r="P281" s="53">
        <v>40</v>
      </c>
      <c r="Q281" s="53">
        <v>63</v>
      </c>
      <c r="R281" s="53">
        <v>63</v>
      </c>
      <c r="S281" s="53">
        <v>63</v>
      </c>
      <c r="T281" s="53">
        <v>63</v>
      </c>
      <c r="U281" s="53">
        <v>63</v>
      </c>
    </row>
    <row r="282" spans="1:21">
      <c r="A282" s="42"/>
      <c r="B282" s="42"/>
      <c r="C282" s="42"/>
      <c r="D282" s="42">
        <v>142</v>
      </c>
      <c r="E282" s="54" t="s">
        <v>52</v>
      </c>
      <c r="F282" s="54"/>
      <c r="G282" s="54"/>
      <c r="H282" s="54"/>
      <c r="I282" s="71">
        <f>J282+K282+L282+M282+N282+O282+P282+Q282+R282+S282+T282+U282</f>
        <v>80</v>
      </c>
      <c r="J282" s="45"/>
      <c r="K282" s="46">
        <v>80</v>
      </c>
      <c r="L282" s="46"/>
      <c r="M282" s="46"/>
      <c r="N282" s="101"/>
      <c r="O282" s="46"/>
      <c r="P282" s="46"/>
      <c r="Q282" s="46"/>
      <c r="R282" s="46"/>
      <c r="S282" s="46"/>
      <c r="T282" s="46"/>
      <c r="U282" s="46"/>
    </row>
    <row r="283" spans="1:21">
      <c r="A283" s="41"/>
      <c r="B283" s="41"/>
      <c r="C283" s="41"/>
      <c r="D283" s="41">
        <v>143</v>
      </c>
      <c r="E283" s="164" t="s">
        <v>53</v>
      </c>
      <c r="F283" s="165"/>
      <c r="G283" s="165"/>
      <c r="H283" s="166"/>
      <c r="I283" s="75">
        <f>SUM(J283:U283)</f>
        <v>0</v>
      </c>
      <c r="J283" s="55"/>
      <c r="K283" s="44"/>
      <c r="L283" s="44"/>
      <c r="M283" s="44"/>
      <c r="N283" s="100"/>
      <c r="O283" s="44"/>
      <c r="P283" s="44"/>
      <c r="Q283" s="44"/>
      <c r="R283" s="44"/>
      <c r="S283" s="44"/>
      <c r="T283" s="44"/>
      <c r="U283" s="44"/>
    </row>
    <row r="284" spans="1:21">
      <c r="A284" s="41"/>
      <c r="B284" s="41"/>
      <c r="C284" s="41"/>
      <c r="D284" s="41">
        <v>144</v>
      </c>
      <c r="E284" s="164" t="s">
        <v>54</v>
      </c>
      <c r="F284" s="165"/>
      <c r="G284" s="165"/>
      <c r="H284" s="166"/>
      <c r="I284" s="75">
        <f t="shared" ref="I284:I291" si="36">SUM(J284:U284)</f>
        <v>249.9</v>
      </c>
      <c r="J284" s="55"/>
      <c r="K284" s="44">
        <v>250</v>
      </c>
      <c r="L284" s="44"/>
      <c r="M284" s="44">
        <v>-0.1</v>
      </c>
      <c r="N284" s="100"/>
      <c r="O284" s="44"/>
      <c r="P284" s="44"/>
      <c r="Q284" s="44"/>
      <c r="R284" s="44"/>
      <c r="S284" s="44"/>
      <c r="T284" s="44"/>
      <c r="U284" s="44"/>
    </row>
    <row r="285" spans="1:21">
      <c r="A285" s="80"/>
      <c r="B285" s="80"/>
      <c r="C285" s="80"/>
      <c r="D285" s="80">
        <v>149</v>
      </c>
      <c r="E285" s="81" t="s">
        <v>55</v>
      </c>
      <c r="F285" s="81"/>
      <c r="G285" s="81"/>
      <c r="H285" s="81"/>
      <c r="I285" s="71">
        <f t="shared" si="36"/>
        <v>1798.9</v>
      </c>
      <c r="J285" s="46"/>
      <c r="K285" s="46">
        <v>200</v>
      </c>
      <c r="L285" s="46">
        <v>100</v>
      </c>
      <c r="M285" s="46">
        <f>814-464</f>
        <v>350</v>
      </c>
      <c r="N285" s="101">
        <f>500+419-769</f>
        <v>150</v>
      </c>
      <c r="O285" s="46">
        <f>300+698.9</f>
        <v>998.9</v>
      </c>
      <c r="P285" s="46"/>
      <c r="Q285" s="46"/>
      <c r="R285" s="46"/>
      <c r="S285" s="46"/>
      <c r="T285" s="46"/>
      <c r="U285" s="46"/>
    </row>
    <row r="286" spans="1:21">
      <c r="A286" s="80"/>
      <c r="B286" s="80"/>
      <c r="C286" s="80"/>
      <c r="D286" s="80">
        <v>151</v>
      </c>
      <c r="E286" s="81" t="s">
        <v>56</v>
      </c>
      <c r="F286" s="81"/>
      <c r="G286" s="81"/>
      <c r="H286" s="81"/>
      <c r="I286" s="71">
        <f t="shared" si="36"/>
        <v>3900</v>
      </c>
      <c r="J286" s="46"/>
      <c r="K286" s="46">
        <v>1300</v>
      </c>
      <c r="L286" s="46">
        <v>100</v>
      </c>
      <c r="M286" s="46">
        <f>850-600</f>
        <v>250</v>
      </c>
      <c r="N286" s="101">
        <f>100+130-30+600-575</f>
        <v>225</v>
      </c>
      <c r="O286" s="46">
        <f>100+30-30+575</f>
        <v>675</v>
      </c>
      <c r="P286" s="46">
        <v>150</v>
      </c>
      <c r="Q286" s="46">
        <v>130</v>
      </c>
      <c r="R286" s="46">
        <v>150</v>
      </c>
      <c r="S286" s="46">
        <v>400</v>
      </c>
      <c r="T286" s="46">
        <v>520</v>
      </c>
      <c r="U286" s="46"/>
    </row>
    <row r="287" spans="1:21" ht="14.55" customHeight="1">
      <c r="A287" s="80"/>
      <c r="B287" s="80"/>
      <c r="C287" s="80"/>
      <c r="D287" s="80">
        <v>152</v>
      </c>
      <c r="E287" s="83" t="s">
        <v>57</v>
      </c>
      <c r="F287" s="81"/>
      <c r="G287" s="81"/>
      <c r="H287" s="84"/>
      <c r="I287" s="71">
        <f t="shared" si="36"/>
        <v>155.69999999999999</v>
      </c>
      <c r="J287" s="46"/>
      <c r="K287" s="46">
        <f>12+50</f>
        <v>62</v>
      </c>
      <c r="L287" s="46">
        <v>31</v>
      </c>
      <c r="M287" s="46">
        <v>33.1</v>
      </c>
      <c r="N287" s="101">
        <v>29.6</v>
      </c>
      <c r="O287" s="46">
        <v>0</v>
      </c>
      <c r="P287" s="46">
        <v>0</v>
      </c>
      <c r="Q287" s="46">
        <v>0</v>
      </c>
      <c r="R287" s="46">
        <v>0</v>
      </c>
      <c r="S287" s="46">
        <v>0</v>
      </c>
      <c r="T287" s="46">
        <v>0</v>
      </c>
      <c r="U287" s="46">
        <v>0</v>
      </c>
    </row>
    <row r="288" spans="1:21" ht="14.55" customHeight="1">
      <c r="A288" s="80"/>
      <c r="B288" s="80"/>
      <c r="C288" s="80"/>
      <c r="D288" s="80">
        <v>159</v>
      </c>
      <c r="E288" s="167" t="s">
        <v>58</v>
      </c>
      <c r="F288" s="168"/>
      <c r="G288" s="168"/>
      <c r="H288" s="169"/>
      <c r="I288" s="71">
        <f t="shared" si="36"/>
        <v>945.5</v>
      </c>
      <c r="J288" s="46">
        <v>13</v>
      </c>
      <c r="K288" s="46">
        <f>12+59</f>
        <v>71</v>
      </c>
      <c r="L288" s="46">
        <v>66</v>
      </c>
      <c r="M288" s="46">
        <f>610+145</f>
        <v>755</v>
      </c>
      <c r="N288" s="101">
        <v>40.5</v>
      </c>
      <c r="O288" s="46">
        <v>0</v>
      </c>
      <c r="P288" s="46">
        <v>0</v>
      </c>
      <c r="Q288" s="46">
        <v>0</v>
      </c>
      <c r="R288" s="46">
        <v>0</v>
      </c>
      <c r="S288" s="46">
        <v>0</v>
      </c>
      <c r="T288" s="46">
        <v>0</v>
      </c>
      <c r="U288" s="46">
        <v>0</v>
      </c>
    </row>
    <row r="289" spans="1:21">
      <c r="A289" s="42"/>
      <c r="B289" s="42"/>
      <c r="C289" s="42"/>
      <c r="D289" s="42">
        <v>161</v>
      </c>
      <c r="E289" s="104" t="s">
        <v>59</v>
      </c>
      <c r="F289" s="105"/>
      <c r="G289" s="105"/>
      <c r="H289" s="106"/>
      <c r="I289" s="71">
        <f t="shared" si="36"/>
        <v>90</v>
      </c>
      <c r="J289" s="45"/>
      <c r="K289" s="46">
        <v>90</v>
      </c>
      <c r="L289" s="46"/>
      <c r="M289" s="46"/>
      <c r="N289" s="101"/>
      <c r="O289" s="46"/>
      <c r="P289" s="46"/>
      <c r="Q289" s="46"/>
      <c r="R289" s="46"/>
      <c r="S289" s="46"/>
      <c r="T289" s="46"/>
      <c r="U289" s="46"/>
    </row>
    <row r="290" spans="1:21">
      <c r="A290" s="42"/>
      <c r="B290" s="42"/>
      <c r="C290" s="42"/>
      <c r="D290" s="42">
        <v>169</v>
      </c>
      <c r="E290" s="158" t="s">
        <v>60</v>
      </c>
      <c r="F290" s="159"/>
      <c r="G290" s="159"/>
      <c r="H290" s="160"/>
      <c r="I290" s="71">
        <f t="shared" si="36"/>
        <v>95</v>
      </c>
      <c r="J290" s="45"/>
      <c r="K290" s="46">
        <v>10</v>
      </c>
      <c r="L290" s="46"/>
      <c r="M290" s="46">
        <v>0</v>
      </c>
      <c r="N290" s="101">
        <f>15-15</f>
        <v>0</v>
      </c>
      <c r="O290" s="46">
        <f>20+15</f>
        <v>35</v>
      </c>
      <c r="P290" s="46"/>
      <c r="Q290" s="46">
        <v>50</v>
      </c>
      <c r="R290" s="46"/>
      <c r="S290" s="46"/>
      <c r="T290" s="46"/>
      <c r="U290" s="46"/>
    </row>
    <row r="291" spans="1:21">
      <c r="A291" s="47"/>
      <c r="B291" s="47"/>
      <c r="C291" s="47"/>
      <c r="D291" s="47">
        <v>418</v>
      </c>
      <c r="E291" s="158" t="s">
        <v>75</v>
      </c>
      <c r="F291" s="159"/>
      <c r="G291" s="159"/>
      <c r="H291" s="160"/>
      <c r="I291" s="71">
        <f t="shared" si="36"/>
        <v>0</v>
      </c>
      <c r="J291" s="49"/>
      <c r="K291" s="49"/>
      <c r="L291" s="50"/>
      <c r="M291" s="50"/>
      <c r="N291" s="102"/>
      <c r="O291" s="50"/>
      <c r="P291" s="50"/>
      <c r="Q291" s="50"/>
      <c r="R291" s="50"/>
      <c r="S291" s="50"/>
      <c r="T291" s="50"/>
      <c r="U291" s="50"/>
    </row>
    <row r="292" spans="1:21" ht="15" thickBot="1">
      <c r="A292" s="47"/>
      <c r="B292" s="47"/>
      <c r="C292" s="47"/>
      <c r="D292" s="59"/>
      <c r="E292" s="170" t="s">
        <v>61</v>
      </c>
      <c r="F292" s="171"/>
      <c r="G292" s="171"/>
      <c r="H292" s="172"/>
      <c r="I292" s="108">
        <f>SUM(J292:U292)</f>
        <v>52062</v>
      </c>
      <c r="J292" s="107">
        <f>SUM(J275:J290)</f>
        <v>3522</v>
      </c>
      <c r="K292" s="107">
        <f>SUM(K275:K291)</f>
        <v>4576</v>
      </c>
      <c r="L292" s="108">
        <f t="shared" ref="L292" si="37">SUM(L275:L290)</f>
        <v>2635</v>
      </c>
      <c r="M292" s="108">
        <f>SUM(M275:M291)</f>
        <v>5854</v>
      </c>
      <c r="N292" s="109">
        <f>SUM(N275:N291)</f>
        <v>2452.1</v>
      </c>
      <c r="O292" s="107">
        <f t="shared" ref="O292:U292" si="38">SUM(O275:O290)</f>
        <v>11263.9</v>
      </c>
      <c r="P292" s="107">
        <f t="shared" si="38"/>
        <v>2728</v>
      </c>
      <c r="Q292" s="107">
        <f t="shared" si="38"/>
        <v>3833</v>
      </c>
      <c r="R292" s="107">
        <f t="shared" si="38"/>
        <v>3684</v>
      </c>
      <c r="S292" s="107">
        <f t="shared" si="38"/>
        <v>3933</v>
      </c>
      <c r="T292" s="107">
        <f t="shared" si="38"/>
        <v>4054</v>
      </c>
      <c r="U292" s="108">
        <f t="shared" si="38"/>
        <v>3527</v>
      </c>
    </row>
    <row r="293" spans="1:21">
      <c r="A293" s="62" t="s">
        <v>40</v>
      </c>
      <c r="B293" s="63" t="s">
        <v>41</v>
      </c>
      <c r="C293" s="64" t="s">
        <v>62</v>
      </c>
      <c r="D293" s="65"/>
      <c r="E293" s="66" t="s">
        <v>43</v>
      </c>
      <c r="F293" s="66"/>
      <c r="G293" s="66"/>
      <c r="H293" s="67"/>
      <c r="I293" s="153">
        <f>SUM(J293:U294)</f>
        <v>5132</v>
      </c>
      <c r="J293" s="151">
        <f>SUM(J295:J300)</f>
        <v>0</v>
      </c>
      <c r="K293" s="151">
        <f t="shared" ref="K293:U293" si="39">SUM(K295:K300)</f>
        <v>924</v>
      </c>
      <c r="L293" s="151">
        <f t="shared" si="39"/>
        <v>438</v>
      </c>
      <c r="M293" s="151">
        <f t="shared" si="39"/>
        <v>1076</v>
      </c>
      <c r="N293" s="153">
        <f t="shared" si="39"/>
        <v>0</v>
      </c>
      <c r="O293" s="151">
        <f t="shared" si="39"/>
        <v>0</v>
      </c>
      <c r="P293" s="151">
        <f t="shared" si="39"/>
        <v>0</v>
      </c>
      <c r="Q293" s="151">
        <f t="shared" si="39"/>
        <v>0</v>
      </c>
      <c r="R293" s="151">
        <f t="shared" si="39"/>
        <v>0</v>
      </c>
      <c r="S293" s="151">
        <f t="shared" si="39"/>
        <v>0</v>
      </c>
      <c r="T293" s="151">
        <f t="shared" si="39"/>
        <v>195.00000000000003</v>
      </c>
      <c r="U293" s="153">
        <f t="shared" si="39"/>
        <v>2499</v>
      </c>
    </row>
    <row r="294" spans="1:21" ht="15" thickBot="1">
      <c r="A294" s="35"/>
      <c r="B294" s="36"/>
      <c r="C294" s="37"/>
      <c r="D294" s="38"/>
      <c r="E294" s="39" t="s">
        <v>44</v>
      </c>
      <c r="F294" s="39"/>
      <c r="G294" s="39"/>
      <c r="H294" s="40"/>
      <c r="I294" s="154"/>
      <c r="J294" s="152"/>
      <c r="K294" s="152"/>
      <c r="L294" s="152"/>
      <c r="M294" s="152"/>
      <c r="N294" s="154"/>
      <c r="O294" s="152"/>
      <c r="P294" s="152"/>
      <c r="Q294" s="152"/>
      <c r="R294" s="152"/>
      <c r="S294" s="152"/>
      <c r="T294" s="152"/>
      <c r="U294" s="154"/>
    </row>
    <row r="295" spans="1:21">
      <c r="A295" s="41"/>
      <c r="B295" s="41"/>
      <c r="C295" s="41"/>
      <c r="D295" s="42">
        <v>111</v>
      </c>
      <c r="E295" s="155" t="s">
        <v>45</v>
      </c>
      <c r="F295" s="156"/>
      <c r="G295" s="156"/>
      <c r="H295" s="157"/>
      <c r="I295" s="68">
        <f>SUM(J295:U295)</f>
        <v>4524.3999999999996</v>
      </c>
      <c r="J295" s="43"/>
      <c r="K295" s="43">
        <v>800</v>
      </c>
      <c r="L295" s="43">
        <v>400</v>
      </c>
      <c r="M295" s="44">
        <f>388+372.4</f>
        <v>760.4</v>
      </c>
      <c r="N295" s="44"/>
      <c r="O295" s="43"/>
      <c r="P295" s="43"/>
      <c r="Q295" s="43"/>
      <c r="R295" s="43">
        <v>0</v>
      </c>
      <c r="S295" s="43">
        <v>0</v>
      </c>
      <c r="T295" s="43">
        <f>794-372.4-226.6</f>
        <v>195.00000000000003</v>
      </c>
      <c r="U295" s="43">
        <f>794+1575</f>
        <v>2369</v>
      </c>
    </row>
    <row r="296" spans="1:21">
      <c r="A296" s="41"/>
      <c r="B296" s="41"/>
      <c r="C296" s="41"/>
      <c r="D296" s="42">
        <v>113</v>
      </c>
      <c r="E296" s="158" t="s">
        <v>46</v>
      </c>
      <c r="F296" s="159"/>
      <c r="G296" s="159"/>
      <c r="H296" s="160"/>
      <c r="I296" s="68">
        <f>SUM(J296:U296)</f>
        <v>226.6</v>
      </c>
      <c r="J296" s="45"/>
      <c r="K296" s="45"/>
      <c r="L296" s="46"/>
      <c r="M296" s="46">
        <v>226.6</v>
      </c>
      <c r="N296" s="46"/>
      <c r="O296" s="45"/>
      <c r="P296" s="46"/>
      <c r="Q296" s="46"/>
      <c r="R296" s="46"/>
      <c r="S296" s="46"/>
      <c r="T296" s="46"/>
      <c r="U296" s="46"/>
    </row>
    <row r="297" spans="1:21">
      <c r="A297" s="42"/>
      <c r="B297" s="42"/>
      <c r="C297" s="42"/>
      <c r="D297" s="42">
        <v>121</v>
      </c>
      <c r="E297" s="158" t="s">
        <v>47</v>
      </c>
      <c r="F297" s="159"/>
      <c r="G297" s="159"/>
      <c r="H297" s="160"/>
      <c r="I297" s="107">
        <f>SUM(J297:U297)</f>
        <v>202</v>
      </c>
      <c r="J297" s="45"/>
      <c r="K297" s="45">
        <v>60</v>
      </c>
      <c r="L297" s="45">
        <v>26</v>
      </c>
      <c r="M297" s="46">
        <v>43</v>
      </c>
      <c r="N297" s="46"/>
      <c r="O297" s="45"/>
      <c r="P297" s="45"/>
      <c r="Q297" s="45"/>
      <c r="R297" s="45">
        <v>0</v>
      </c>
      <c r="S297" s="45">
        <v>0</v>
      </c>
      <c r="T297" s="45">
        <v>0</v>
      </c>
      <c r="U297" s="45">
        <f>43+30</f>
        <v>73</v>
      </c>
    </row>
    <row r="298" spans="1:21">
      <c r="A298" s="47"/>
      <c r="B298" s="47"/>
      <c r="C298" s="47"/>
      <c r="D298" s="47">
        <v>122</v>
      </c>
      <c r="E298" s="161" t="s">
        <v>48</v>
      </c>
      <c r="F298" s="162"/>
      <c r="G298" s="162"/>
      <c r="H298" s="163"/>
      <c r="I298" s="68"/>
      <c r="J298" s="48"/>
      <c r="K298" s="49"/>
      <c r="L298" s="50"/>
      <c r="M298" s="50"/>
      <c r="N298" s="50"/>
      <c r="O298" s="49"/>
      <c r="P298" s="50"/>
      <c r="Q298" s="50"/>
      <c r="R298" s="50"/>
      <c r="S298" s="50"/>
      <c r="T298" s="50"/>
      <c r="U298" s="50"/>
    </row>
    <row r="299" spans="1:21">
      <c r="A299" s="51"/>
      <c r="B299" s="51"/>
      <c r="C299" s="51"/>
      <c r="D299" s="51"/>
      <c r="E299" s="144" t="s">
        <v>49</v>
      </c>
      <c r="F299" s="145"/>
      <c r="G299" s="145"/>
      <c r="H299" s="146"/>
      <c r="I299" s="69">
        <f>SUM(J299:U299)</f>
        <v>121</v>
      </c>
      <c r="J299" s="45"/>
      <c r="K299" s="45">
        <v>40</v>
      </c>
      <c r="L299" s="45">
        <v>12</v>
      </c>
      <c r="M299" s="46">
        <v>26</v>
      </c>
      <c r="N299" s="46"/>
      <c r="O299" s="45"/>
      <c r="P299" s="45"/>
      <c r="Q299" s="45"/>
      <c r="R299" s="45">
        <v>0</v>
      </c>
      <c r="S299" s="45">
        <v>0</v>
      </c>
      <c r="T299" s="45">
        <v>0</v>
      </c>
      <c r="U299" s="45">
        <f>26+17</f>
        <v>43</v>
      </c>
    </row>
    <row r="300" spans="1:21">
      <c r="A300" s="42"/>
      <c r="B300" s="42"/>
      <c r="C300" s="42"/>
      <c r="D300" s="42">
        <v>124</v>
      </c>
      <c r="E300" s="147" t="s">
        <v>51</v>
      </c>
      <c r="F300" s="148"/>
      <c r="G300" s="148"/>
      <c r="H300" s="149"/>
      <c r="I300" s="107">
        <f>SUM(J300:U300)</f>
        <v>58</v>
      </c>
      <c r="J300" s="52"/>
      <c r="K300" s="52">
        <v>24</v>
      </c>
      <c r="L300" s="52"/>
      <c r="M300" s="53">
        <v>20</v>
      </c>
      <c r="N300" s="53"/>
      <c r="O300" s="52"/>
      <c r="P300" s="52"/>
      <c r="Q300" s="52"/>
      <c r="R300" s="52">
        <v>0</v>
      </c>
      <c r="S300" s="52">
        <v>0</v>
      </c>
      <c r="T300" s="52">
        <v>0</v>
      </c>
      <c r="U300" s="52">
        <f>12-8+10</f>
        <v>14</v>
      </c>
    </row>
    <row r="301" spans="1:21" ht="15" thickBot="1">
      <c r="A301" s="42"/>
      <c r="B301" s="42"/>
      <c r="C301" s="42"/>
      <c r="D301" s="70"/>
      <c r="E301" s="150" t="s">
        <v>63</v>
      </c>
      <c r="F301" s="150"/>
      <c r="G301" s="150"/>
      <c r="H301" s="150"/>
      <c r="I301" s="71">
        <f>SUM(I295:I300)</f>
        <v>5132</v>
      </c>
      <c r="J301" s="68">
        <f t="shared" ref="J301:U301" si="40">SUM(J295:J300)</f>
        <v>0</v>
      </c>
      <c r="K301" s="68">
        <f t="shared" si="40"/>
        <v>924</v>
      </c>
      <c r="L301" s="68">
        <f t="shared" si="40"/>
        <v>438</v>
      </c>
      <c r="M301" s="68">
        <f t="shared" si="40"/>
        <v>1076</v>
      </c>
      <c r="N301" s="71">
        <f t="shared" si="40"/>
        <v>0</v>
      </c>
      <c r="O301" s="68">
        <f t="shared" si="40"/>
        <v>0</v>
      </c>
      <c r="P301" s="68">
        <f t="shared" si="40"/>
        <v>0</v>
      </c>
      <c r="Q301" s="68">
        <f t="shared" si="40"/>
        <v>0</v>
      </c>
      <c r="R301" s="68">
        <f t="shared" si="40"/>
        <v>0</v>
      </c>
      <c r="S301" s="71">
        <f t="shared" si="40"/>
        <v>0</v>
      </c>
      <c r="T301" s="68">
        <f t="shared" si="40"/>
        <v>195.00000000000003</v>
      </c>
      <c r="U301" s="71">
        <f t="shared" si="40"/>
        <v>2499</v>
      </c>
    </row>
    <row r="302" spans="1:21">
      <c r="A302" s="62" t="s">
        <v>40</v>
      </c>
      <c r="B302" s="63" t="s">
        <v>41</v>
      </c>
      <c r="C302" s="64" t="s">
        <v>76</v>
      </c>
      <c r="D302" s="65"/>
      <c r="E302" s="66" t="s">
        <v>43</v>
      </c>
      <c r="F302" s="66"/>
      <c r="G302" s="66"/>
      <c r="H302" s="67"/>
      <c r="I302" s="153">
        <f>SUM(J302:U303)</f>
        <v>1090</v>
      </c>
      <c r="J302" s="151">
        <f t="shared" ref="J302:U302" si="41">SUM(J304:J308)</f>
        <v>0</v>
      </c>
      <c r="K302" s="151">
        <f t="shared" si="41"/>
        <v>0</v>
      </c>
      <c r="L302" s="151">
        <f t="shared" si="41"/>
        <v>0</v>
      </c>
      <c r="M302" s="151">
        <f t="shared" si="41"/>
        <v>565.4</v>
      </c>
      <c r="N302" s="153">
        <f t="shared" si="41"/>
        <v>56</v>
      </c>
      <c r="O302" s="151">
        <f t="shared" si="41"/>
        <v>0</v>
      </c>
      <c r="P302" s="151">
        <f t="shared" si="41"/>
        <v>0</v>
      </c>
      <c r="Q302" s="151">
        <f t="shared" si="41"/>
        <v>0</v>
      </c>
      <c r="R302" s="151">
        <f t="shared" si="41"/>
        <v>-220.4</v>
      </c>
      <c r="S302" s="151">
        <f t="shared" si="41"/>
        <v>689</v>
      </c>
      <c r="T302" s="151">
        <f t="shared" si="41"/>
        <v>0</v>
      </c>
      <c r="U302" s="153">
        <f t="shared" si="41"/>
        <v>0</v>
      </c>
    </row>
    <row r="303" spans="1:21" ht="15" thickBot="1">
      <c r="A303" s="35"/>
      <c r="B303" s="36"/>
      <c r="C303" s="37"/>
      <c r="D303" s="38"/>
      <c r="E303" s="39" t="s">
        <v>44</v>
      </c>
      <c r="F303" s="39"/>
      <c r="G303" s="39"/>
      <c r="H303" s="40"/>
      <c r="I303" s="154"/>
      <c r="J303" s="152"/>
      <c r="K303" s="152"/>
      <c r="L303" s="152"/>
      <c r="M303" s="152"/>
      <c r="N303" s="154"/>
      <c r="O303" s="152"/>
      <c r="P303" s="152"/>
      <c r="Q303" s="152"/>
      <c r="R303" s="152"/>
      <c r="S303" s="152"/>
      <c r="T303" s="152"/>
      <c r="U303" s="154"/>
    </row>
    <row r="304" spans="1:21">
      <c r="A304" s="41"/>
      <c r="B304" s="41"/>
      <c r="C304" s="41"/>
      <c r="D304" s="42">
        <v>111</v>
      </c>
      <c r="E304" s="155" t="s">
        <v>45</v>
      </c>
      <c r="F304" s="156"/>
      <c r="G304" s="156"/>
      <c r="H304" s="157"/>
      <c r="I304" s="68">
        <f>SUM(J304:U304)</f>
        <v>1000</v>
      </c>
      <c r="J304" s="43"/>
      <c r="K304" s="43"/>
      <c r="L304" s="43"/>
      <c r="M304" s="100">
        <v>520.6</v>
      </c>
      <c r="N304" s="110">
        <v>50</v>
      </c>
      <c r="O304" s="43"/>
      <c r="P304" s="43"/>
      <c r="Q304" s="43"/>
      <c r="R304" s="100">
        <v>-220.6</v>
      </c>
      <c r="S304" s="110">
        <f>700-50</f>
        <v>650</v>
      </c>
      <c r="T304" s="43"/>
      <c r="U304" s="43"/>
    </row>
    <row r="305" spans="1:21">
      <c r="A305" s="41"/>
      <c r="B305" s="41"/>
      <c r="C305" s="41"/>
      <c r="D305" s="42">
        <v>113</v>
      </c>
      <c r="E305" s="158" t="s">
        <v>46</v>
      </c>
      <c r="F305" s="159"/>
      <c r="G305" s="159"/>
      <c r="H305" s="160"/>
      <c r="I305" s="68">
        <f>SUM(J305:U305)</f>
        <v>0</v>
      </c>
      <c r="J305" s="45"/>
      <c r="K305" s="45"/>
      <c r="L305" s="46"/>
      <c r="M305" s="101"/>
      <c r="N305" s="111"/>
      <c r="O305" s="45"/>
      <c r="P305" s="46"/>
      <c r="Q305" s="46"/>
      <c r="R305" s="101"/>
      <c r="S305" s="111"/>
      <c r="T305" s="46"/>
      <c r="U305" s="46"/>
    </row>
    <row r="306" spans="1:21">
      <c r="A306" s="42"/>
      <c r="B306" s="42"/>
      <c r="C306" s="42"/>
      <c r="D306" s="42">
        <v>121</v>
      </c>
      <c r="E306" s="158" t="s">
        <v>47</v>
      </c>
      <c r="F306" s="159"/>
      <c r="G306" s="159"/>
      <c r="H306" s="160"/>
      <c r="I306" s="107">
        <f>SUM(J306:U306)</f>
        <v>54</v>
      </c>
      <c r="J306" s="45"/>
      <c r="K306" s="45"/>
      <c r="L306" s="45"/>
      <c r="M306" s="101">
        <v>28</v>
      </c>
      <c r="N306" s="111">
        <v>4</v>
      </c>
      <c r="O306" s="46"/>
      <c r="P306" s="45"/>
      <c r="Q306" s="45"/>
      <c r="R306" s="101">
        <v>-1</v>
      </c>
      <c r="S306" s="111">
        <f>27-4</f>
        <v>23</v>
      </c>
      <c r="T306" s="45"/>
      <c r="U306" s="45"/>
    </row>
    <row r="307" spans="1:21">
      <c r="A307" s="47"/>
      <c r="B307" s="47"/>
      <c r="C307" s="47"/>
      <c r="D307" s="47">
        <v>122</v>
      </c>
      <c r="E307" s="161" t="s">
        <v>48</v>
      </c>
      <c r="F307" s="162"/>
      <c r="G307" s="162"/>
      <c r="H307" s="163"/>
      <c r="I307" s="68"/>
      <c r="J307" s="48"/>
      <c r="K307" s="49"/>
      <c r="L307" s="50"/>
      <c r="M307" s="102"/>
      <c r="N307" s="112"/>
      <c r="O307" s="50"/>
      <c r="P307" s="50"/>
      <c r="Q307" s="50"/>
      <c r="R307" s="102"/>
      <c r="S307" s="112"/>
      <c r="T307" s="50"/>
      <c r="U307" s="50"/>
    </row>
    <row r="308" spans="1:21">
      <c r="A308" s="51"/>
      <c r="B308" s="51"/>
      <c r="C308" s="51"/>
      <c r="D308" s="51"/>
      <c r="E308" s="144" t="s">
        <v>49</v>
      </c>
      <c r="F308" s="145"/>
      <c r="G308" s="145"/>
      <c r="H308" s="146"/>
      <c r="I308" s="69">
        <f>SUM(J308:U308)</f>
        <v>36</v>
      </c>
      <c r="J308" s="45"/>
      <c r="K308" s="45"/>
      <c r="L308" s="45"/>
      <c r="M308" s="101">
        <v>16.8</v>
      </c>
      <c r="N308" s="111">
        <v>2</v>
      </c>
      <c r="O308" s="46"/>
      <c r="P308" s="45"/>
      <c r="Q308" s="45"/>
      <c r="R308" s="101">
        <f>18-16.8</f>
        <v>1.1999999999999993</v>
      </c>
      <c r="S308" s="111">
        <f>18-2</f>
        <v>16</v>
      </c>
      <c r="T308" s="45"/>
      <c r="U308" s="45"/>
    </row>
    <row r="309" spans="1:21">
      <c r="A309" s="42"/>
      <c r="B309" s="42"/>
      <c r="C309" s="42"/>
      <c r="D309" s="42">
        <v>124</v>
      </c>
      <c r="E309" s="147" t="s">
        <v>51</v>
      </c>
      <c r="F309" s="148"/>
      <c r="G309" s="148"/>
      <c r="H309" s="149"/>
      <c r="I309" s="107">
        <f>SUM(J309:U309)</f>
        <v>16</v>
      </c>
      <c r="J309" s="52"/>
      <c r="K309" s="52"/>
      <c r="L309" s="52"/>
      <c r="M309" s="103">
        <v>10.6</v>
      </c>
      <c r="N309" s="113">
        <v>1</v>
      </c>
      <c r="O309" s="53"/>
      <c r="P309" s="52"/>
      <c r="Q309" s="52"/>
      <c r="R309" s="103">
        <v>-2.6</v>
      </c>
      <c r="S309" s="113">
        <f>8-1</f>
        <v>7</v>
      </c>
      <c r="T309" s="52"/>
      <c r="U309" s="52"/>
    </row>
    <row r="310" spans="1:21">
      <c r="A310" s="42"/>
      <c r="B310" s="42"/>
      <c r="C310" s="42"/>
      <c r="D310" s="70"/>
      <c r="E310" s="150" t="s">
        <v>63</v>
      </c>
      <c r="F310" s="150"/>
      <c r="G310" s="150"/>
      <c r="H310" s="150"/>
      <c r="I310" s="71">
        <f>SUM(I304:I309)</f>
        <v>1106</v>
      </c>
      <c r="J310" s="68">
        <f t="shared" ref="J310:U310" si="42">SUM(J304:J309)</f>
        <v>0</v>
      </c>
      <c r="K310" s="68">
        <f t="shared" si="42"/>
        <v>0</v>
      </c>
      <c r="L310" s="68">
        <f t="shared" si="42"/>
        <v>0</v>
      </c>
      <c r="M310" s="68">
        <f t="shared" si="42"/>
        <v>576</v>
      </c>
      <c r="N310" s="71">
        <f t="shared" si="42"/>
        <v>57</v>
      </c>
      <c r="O310" s="68">
        <f t="shared" si="42"/>
        <v>0</v>
      </c>
      <c r="P310" s="68">
        <f t="shared" si="42"/>
        <v>0</v>
      </c>
      <c r="Q310" s="68">
        <f t="shared" si="42"/>
        <v>0</v>
      </c>
      <c r="R310" s="68">
        <f t="shared" si="42"/>
        <v>-223</v>
      </c>
      <c r="S310" s="71">
        <f t="shared" si="42"/>
        <v>696</v>
      </c>
      <c r="T310" s="68">
        <f t="shared" si="42"/>
        <v>0</v>
      </c>
      <c r="U310" s="71">
        <f t="shared" si="42"/>
        <v>0</v>
      </c>
    </row>
    <row r="311" spans="1:21">
      <c r="A311" s="42"/>
      <c r="B311" s="42"/>
      <c r="C311" s="42"/>
      <c r="D311" s="70"/>
      <c r="E311" s="150" t="s">
        <v>64</v>
      </c>
      <c r="F311" s="150"/>
      <c r="G311" s="150"/>
      <c r="H311" s="150"/>
      <c r="I311" s="68">
        <f>I292+I301+I310</f>
        <v>58300</v>
      </c>
      <c r="J311" s="68">
        <f t="shared" ref="J311:U311" si="43">J292+J301+J310</f>
        <v>3522</v>
      </c>
      <c r="K311" s="68">
        <f t="shared" si="43"/>
        <v>5500</v>
      </c>
      <c r="L311" s="68">
        <f t="shared" si="43"/>
        <v>3073</v>
      </c>
      <c r="M311" s="68">
        <f t="shared" si="43"/>
        <v>7506</v>
      </c>
      <c r="N311" s="68">
        <f t="shared" si="43"/>
        <v>2509.1</v>
      </c>
      <c r="O311" s="68">
        <f t="shared" si="43"/>
        <v>11263.9</v>
      </c>
      <c r="P311" s="68">
        <f t="shared" si="43"/>
        <v>2728</v>
      </c>
      <c r="Q311" s="68">
        <f t="shared" si="43"/>
        <v>3833</v>
      </c>
      <c r="R311" s="68">
        <f t="shared" si="43"/>
        <v>3461</v>
      </c>
      <c r="S311" s="68">
        <f t="shared" si="43"/>
        <v>4629</v>
      </c>
      <c r="T311" s="68">
        <f t="shared" si="43"/>
        <v>4249</v>
      </c>
      <c r="U311" s="68">
        <f t="shared" si="43"/>
        <v>6026</v>
      </c>
    </row>
    <row r="312" spans="1:21">
      <c r="A312" s="33"/>
      <c r="B312" s="33"/>
      <c r="C312" s="33"/>
      <c r="D312" s="72"/>
      <c r="E312" s="73"/>
      <c r="F312" s="73"/>
      <c r="G312" s="73"/>
      <c r="H312" s="73"/>
      <c r="I312" s="74"/>
      <c r="J312" s="74"/>
      <c r="K312" s="74"/>
      <c r="L312" s="74"/>
      <c r="M312" s="74"/>
      <c r="N312" s="74"/>
      <c r="O312" s="74"/>
      <c r="P312" s="74"/>
      <c r="Q312" s="74"/>
      <c r="R312" s="74"/>
      <c r="S312" s="74"/>
      <c r="T312" s="74"/>
      <c r="U312" s="76"/>
    </row>
    <row r="313" spans="1:21">
      <c r="A313" s="3" t="s">
        <v>65</v>
      </c>
      <c r="B313" s="3"/>
      <c r="C313" s="3"/>
      <c r="D313" s="3"/>
      <c r="E313" s="3"/>
      <c r="F313" s="3"/>
      <c r="G313" s="3"/>
      <c r="H313" s="3"/>
      <c r="I313" s="3"/>
      <c r="J313" s="27"/>
      <c r="K313" s="27"/>
      <c r="L313" s="27"/>
      <c r="M313" s="3"/>
      <c r="N313" s="27" t="s">
        <v>66</v>
      </c>
      <c r="O313" s="27"/>
      <c r="P313" s="27"/>
      <c r="Q313" s="25"/>
      <c r="R313" s="3"/>
      <c r="S313" s="3"/>
      <c r="T313" s="3"/>
      <c r="U313" s="3"/>
    </row>
    <row r="314" spans="1:21">
      <c r="A314" s="3" t="s">
        <v>67</v>
      </c>
      <c r="B314" s="3"/>
      <c r="C314" s="3"/>
      <c r="D314" s="3"/>
      <c r="E314" s="3"/>
      <c r="F314" s="3"/>
      <c r="G314" s="3"/>
      <c r="H314" s="3"/>
      <c r="I314" s="3"/>
      <c r="J314" s="25" t="s">
        <v>68</v>
      </c>
      <c r="K314" s="25"/>
      <c r="L314" s="25"/>
      <c r="M314" s="3"/>
      <c r="N314" s="25" t="s">
        <v>69</v>
      </c>
      <c r="O314" s="25"/>
      <c r="P314" s="25"/>
      <c r="Q314" s="25"/>
      <c r="R314" s="25"/>
      <c r="S314" s="3"/>
      <c r="T314" s="3"/>
      <c r="U314" s="3"/>
    </row>
    <row r="315" spans="1:21">
      <c r="A315" s="3" t="s">
        <v>70</v>
      </c>
      <c r="B315" s="3"/>
      <c r="C315" s="3"/>
      <c r="D315" s="3"/>
      <c r="E315" s="3"/>
      <c r="F315" s="3"/>
      <c r="G315" s="3"/>
      <c r="H315" s="3"/>
      <c r="I315" s="3"/>
      <c r="J315" s="27"/>
      <c r="K315" s="27"/>
      <c r="L315" s="27"/>
      <c r="M315" s="3"/>
      <c r="N315" s="27" t="s">
        <v>71</v>
      </c>
      <c r="O315" s="27"/>
      <c r="P315" s="27"/>
      <c r="Q315" s="25"/>
      <c r="R315" s="3"/>
      <c r="S315" s="3"/>
      <c r="T315" s="3"/>
      <c r="U315" s="3"/>
    </row>
    <row r="316" spans="1:21">
      <c r="A316" s="3" t="s">
        <v>72</v>
      </c>
      <c r="B316" s="3"/>
      <c r="C316" s="3"/>
      <c r="D316" s="3"/>
      <c r="E316" s="3"/>
      <c r="F316" s="3"/>
      <c r="G316" s="3"/>
      <c r="H316" s="3"/>
      <c r="I316" s="3"/>
      <c r="J316" s="25" t="s">
        <v>68</v>
      </c>
      <c r="K316" s="25"/>
      <c r="L316" s="25"/>
      <c r="M316" s="3"/>
      <c r="N316" s="25" t="s">
        <v>69</v>
      </c>
      <c r="O316" s="25"/>
      <c r="P316" s="25"/>
      <c r="Q316" s="25"/>
      <c r="R316" s="3"/>
      <c r="S316" s="3"/>
      <c r="T316" s="3"/>
      <c r="U316" s="3"/>
    </row>
    <row r="317" spans="1:21">
      <c r="D317" s="3"/>
      <c r="E317" s="3"/>
      <c r="F317" s="3"/>
      <c r="G317" s="3"/>
      <c r="H317" s="3"/>
      <c r="I317" s="3"/>
      <c r="J317" s="25"/>
      <c r="K317" s="25"/>
      <c r="L317" s="25"/>
      <c r="M317" s="25"/>
      <c r="N317" s="25"/>
      <c r="O317" s="25"/>
      <c r="P317" s="25"/>
      <c r="Q317" s="25"/>
      <c r="R317" s="3"/>
      <c r="S317" s="3"/>
      <c r="T317" s="3"/>
      <c r="U317" s="3"/>
    </row>
    <row r="318" spans="1:21">
      <c r="D318" s="3"/>
      <c r="E318" s="3"/>
      <c r="F318" s="3"/>
      <c r="G318" s="3"/>
      <c r="H318" s="3"/>
      <c r="I318" s="3"/>
      <c r="J318" s="25"/>
      <c r="K318" s="25"/>
      <c r="L318" s="25"/>
      <c r="M318" s="25"/>
      <c r="N318" s="25"/>
      <c r="O318" s="25"/>
      <c r="P318" s="25"/>
      <c r="Q318" s="25"/>
      <c r="R318" s="25"/>
      <c r="S318" s="3"/>
      <c r="T318" s="3"/>
      <c r="U318" s="3"/>
    </row>
    <row r="319" spans="1:21">
      <c r="D319" s="3"/>
      <c r="E319" s="3"/>
      <c r="F319" s="3"/>
      <c r="G319" s="3"/>
      <c r="H319" s="3"/>
      <c r="I319" s="3"/>
      <c r="J319" s="25"/>
      <c r="K319" s="25"/>
      <c r="L319" s="25"/>
      <c r="M319" s="25"/>
      <c r="N319" s="25"/>
      <c r="O319" s="25"/>
      <c r="P319" s="25"/>
      <c r="Q319" s="25"/>
      <c r="R319" s="3"/>
      <c r="S319" s="3"/>
      <c r="T319" s="3"/>
      <c r="U319" s="3"/>
    </row>
    <row r="320" spans="1:21">
      <c r="D320" s="3"/>
      <c r="E320" s="3"/>
      <c r="F320" s="3"/>
      <c r="G320" s="3"/>
      <c r="H320" s="3"/>
      <c r="I320" s="3"/>
      <c r="J320" s="25"/>
      <c r="K320" s="25"/>
      <c r="L320" s="25"/>
      <c r="M320" s="3"/>
      <c r="N320" s="25"/>
      <c r="O320" s="25"/>
      <c r="P320" s="25"/>
      <c r="Q320" s="25"/>
      <c r="R320" s="3"/>
      <c r="S320" s="3"/>
      <c r="T320" s="3"/>
      <c r="U320" s="3"/>
    </row>
  </sheetData>
  <mergeCells count="476">
    <mergeCell ref="E308:H308"/>
    <mergeCell ref="E309:H309"/>
    <mergeCell ref="E310:H310"/>
    <mergeCell ref="E311:H311"/>
    <mergeCell ref="Q302:Q303"/>
    <mergeCell ref="R302:R303"/>
    <mergeCell ref="S302:S303"/>
    <mergeCell ref="T302:T303"/>
    <mergeCell ref="U302:U303"/>
    <mergeCell ref="E304:H304"/>
    <mergeCell ref="E305:H305"/>
    <mergeCell ref="E306:H306"/>
    <mergeCell ref="E307:H307"/>
    <mergeCell ref="E301:H301"/>
    <mergeCell ref="I302:I303"/>
    <mergeCell ref="J302:J303"/>
    <mergeCell ref="K302:K303"/>
    <mergeCell ref="L302:L303"/>
    <mergeCell ref="M302:M303"/>
    <mergeCell ref="N302:N303"/>
    <mergeCell ref="O302:O303"/>
    <mergeCell ref="P302:P303"/>
    <mergeCell ref="S293:S294"/>
    <mergeCell ref="T293:T294"/>
    <mergeCell ref="U293:U294"/>
    <mergeCell ref="E295:H295"/>
    <mergeCell ref="E296:H296"/>
    <mergeCell ref="E297:H297"/>
    <mergeCell ref="E298:H298"/>
    <mergeCell ref="E299:H299"/>
    <mergeCell ref="E300:H300"/>
    <mergeCell ref="J293:J294"/>
    <mergeCell ref="K293:K294"/>
    <mergeCell ref="L293:L294"/>
    <mergeCell ref="M293:M294"/>
    <mergeCell ref="N293:N294"/>
    <mergeCell ref="O293:O294"/>
    <mergeCell ref="P293:P294"/>
    <mergeCell ref="Q293:Q294"/>
    <mergeCell ref="R293:R294"/>
    <mergeCell ref="E280:H280"/>
    <mergeCell ref="E281:H281"/>
    <mergeCell ref="E283:H283"/>
    <mergeCell ref="E284:H284"/>
    <mergeCell ref="E288:H288"/>
    <mergeCell ref="E290:H290"/>
    <mergeCell ref="E291:H291"/>
    <mergeCell ref="E292:H292"/>
    <mergeCell ref="I293:I294"/>
    <mergeCell ref="R273:R274"/>
    <mergeCell ref="S273:S274"/>
    <mergeCell ref="T273:T274"/>
    <mergeCell ref="U273:U274"/>
    <mergeCell ref="E275:H275"/>
    <mergeCell ref="E276:H276"/>
    <mergeCell ref="E277:H277"/>
    <mergeCell ref="E278:H278"/>
    <mergeCell ref="E279:H279"/>
    <mergeCell ref="I273:I274"/>
    <mergeCell ref="J273:J274"/>
    <mergeCell ref="K273:K274"/>
    <mergeCell ref="L273:L274"/>
    <mergeCell ref="M273:M274"/>
    <mergeCell ref="N273:N274"/>
    <mergeCell ref="O273:O274"/>
    <mergeCell ref="P273:P274"/>
    <mergeCell ref="Q273:Q274"/>
    <mergeCell ref="A269:A272"/>
    <mergeCell ref="B269:B272"/>
    <mergeCell ref="C269:C272"/>
    <mergeCell ref="D269:D272"/>
    <mergeCell ref="I269:I272"/>
    <mergeCell ref="J269:U269"/>
    <mergeCell ref="J270:J272"/>
    <mergeCell ref="K270:K272"/>
    <mergeCell ref="L270:L272"/>
    <mergeCell ref="M270:M272"/>
    <mergeCell ref="N270:N272"/>
    <mergeCell ref="O270:O272"/>
    <mergeCell ref="P270:P272"/>
    <mergeCell ref="Q270:Q272"/>
    <mergeCell ref="R270:R272"/>
    <mergeCell ref="S270:S272"/>
    <mergeCell ref="T270:T272"/>
    <mergeCell ref="U270:U272"/>
    <mergeCell ref="L257:U257"/>
    <mergeCell ref="L258:U258"/>
    <mergeCell ref="L259:U259"/>
    <mergeCell ref="P260:R260"/>
    <mergeCell ref="S260:U260"/>
    <mergeCell ref="P261:R261"/>
    <mergeCell ref="S261:T261"/>
    <mergeCell ref="P262:R262"/>
    <mergeCell ref="N268:Q268"/>
    <mergeCell ref="O174:O175"/>
    <mergeCell ref="P174:P175"/>
    <mergeCell ref="Q174:Q175"/>
    <mergeCell ref="R174:R175"/>
    <mergeCell ref="S174:S175"/>
    <mergeCell ref="T174:T175"/>
    <mergeCell ref="U174:U175"/>
    <mergeCell ref="E178:H178"/>
    <mergeCell ref="E179:H179"/>
    <mergeCell ref="J174:J175"/>
    <mergeCell ref="K174:K175"/>
    <mergeCell ref="L174:L175"/>
    <mergeCell ref="M174:M175"/>
    <mergeCell ref="N174:N175"/>
    <mergeCell ref="E177:H177"/>
    <mergeCell ref="M165:M166"/>
    <mergeCell ref="N165:N166"/>
    <mergeCell ref="O165:O166"/>
    <mergeCell ref="P165:P166"/>
    <mergeCell ref="Q165:Q166"/>
    <mergeCell ref="R165:R166"/>
    <mergeCell ref="S165:S166"/>
    <mergeCell ref="T165:T166"/>
    <mergeCell ref="U165:U166"/>
    <mergeCell ref="E162:H162"/>
    <mergeCell ref="E163:H163"/>
    <mergeCell ref="I165:I166"/>
    <mergeCell ref="J165:J166"/>
    <mergeCell ref="K165:K166"/>
    <mergeCell ref="L165:L166"/>
    <mergeCell ref="E152:H152"/>
    <mergeCell ref="E153:H153"/>
    <mergeCell ref="E155:H155"/>
    <mergeCell ref="E156:H156"/>
    <mergeCell ref="E160:H160"/>
    <mergeCell ref="E164:H164"/>
    <mergeCell ref="L129:U129"/>
    <mergeCell ref="L131:U131"/>
    <mergeCell ref="P132:R132"/>
    <mergeCell ref="S132:U132"/>
    <mergeCell ref="P133:R133"/>
    <mergeCell ref="S133:T133"/>
    <mergeCell ref="P134:R134"/>
    <mergeCell ref="N140:Q140"/>
    <mergeCell ref="A141:A144"/>
    <mergeCell ref="B141:B144"/>
    <mergeCell ref="C141:C144"/>
    <mergeCell ref="D141:D144"/>
    <mergeCell ref="I141:I144"/>
    <mergeCell ref="J141:U141"/>
    <mergeCell ref="J142:J144"/>
    <mergeCell ref="K142:K144"/>
    <mergeCell ref="L142:L144"/>
    <mergeCell ref="M142:M144"/>
    <mergeCell ref="N142:N144"/>
    <mergeCell ref="O142:O144"/>
    <mergeCell ref="P142:P144"/>
    <mergeCell ref="Q142:Q144"/>
    <mergeCell ref="R142:R144"/>
    <mergeCell ref="S142:S144"/>
    <mergeCell ref="I50:I51"/>
    <mergeCell ref="J50:J51"/>
    <mergeCell ref="K50:K51"/>
    <mergeCell ref="L50:L51"/>
    <mergeCell ref="M50:M51"/>
    <mergeCell ref="S50:S51"/>
    <mergeCell ref="T50:T51"/>
    <mergeCell ref="U50:U51"/>
    <mergeCell ref="N50:N51"/>
    <mergeCell ref="O50:O51"/>
    <mergeCell ref="P50:P51"/>
    <mergeCell ref="Q50:Q51"/>
    <mergeCell ref="R50:R51"/>
    <mergeCell ref="E49:H49"/>
    <mergeCell ref="E59:H59"/>
    <mergeCell ref="E43:H43"/>
    <mergeCell ref="E44:H44"/>
    <mergeCell ref="E45:H45"/>
    <mergeCell ref="E46:H46"/>
    <mergeCell ref="E47:H47"/>
    <mergeCell ref="E48:H48"/>
    <mergeCell ref="E52:H52"/>
    <mergeCell ref="E53:H53"/>
    <mergeCell ref="E54:H54"/>
    <mergeCell ref="E55:H55"/>
    <mergeCell ref="E56:H56"/>
    <mergeCell ref="E57:H57"/>
    <mergeCell ref="E58:H58"/>
    <mergeCell ref="U41:U42"/>
    <mergeCell ref="J41:J42"/>
    <mergeCell ref="K41:K42"/>
    <mergeCell ref="L41:L42"/>
    <mergeCell ref="M41:M42"/>
    <mergeCell ref="N41:N42"/>
    <mergeCell ref="O41:O42"/>
    <mergeCell ref="P41:P42"/>
    <mergeCell ref="Q41:Q42"/>
    <mergeCell ref="R41:R42"/>
    <mergeCell ref="S41:S42"/>
    <mergeCell ref="T41:T42"/>
    <mergeCell ref="I41:I42"/>
    <mergeCell ref="E24:H24"/>
    <mergeCell ref="E25:H25"/>
    <mergeCell ref="E26:H26"/>
    <mergeCell ref="E27:H27"/>
    <mergeCell ref="E28:H28"/>
    <mergeCell ref="E29:H29"/>
    <mergeCell ref="E31:H31"/>
    <mergeCell ref="E32:H32"/>
    <mergeCell ref="E36:H36"/>
    <mergeCell ref="E38:H38"/>
    <mergeCell ref="E40:H40"/>
    <mergeCell ref="E39:H39"/>
    <mergeCell ref="E23:H23"/>
    <mergeCell ref="T18:T20"/>
    <mergeCell ref="U18:U20"/>
    <mergeCell ref="I21:I22"/>
    <mergeCell ref="J21:J22"/>
    <mergeCell ref="K21:K22"/>
    <mergeCell ref="L21:L22"/>
    <mergeCell ref="M21:M22"/>
    <mergeCell ref="N21:N22"/>
    <mergeCell ref="O21:O22"/>
    <mergeCell ref="P21:P22"/>
    <mergeCell ref="N18:N20"/>
    <mergeCell ref="O18:O20"/>
    <mergeCell ref="P18:P20"/>
    <mergeCell ref="Q18:Q20"/>
    <mergeCell ref="R18:R20"/>
    <mergeCell ref="Q21:Q22"/>
    <mergeCell ref="R21:R22"/>
    <mergeCell ref="S21:S22"/>
    <mergeCell ref="T21:T22"/>
    <mergeCell ref="U21:U22"/>
    <mergeCell ref="S18:S20"/>
    <mergeCell ref="A17:A20"/>
    <mergeCell ref="B17:B20"/>
    <mergeCell ref="C17:C20"/>
    <mergeCell ref="D17:D20"/>
    <mergeCell ref="I17:I20"/>
    <mergeCell ref="J17:U17"/>
    <mergeCell ref="J18:J20"/>
    <mergeCell ref="K18:K20"/>
    <mergeCell ref="L18:L20"/>
    <mergeCell ref="M18:M20"/>
    <mergeCell ref="N16:Q16"/>
    <mergeCell ref="L2:U2"/>
    <mergeCell ref="S3:U3"/>
    <mergeCell ref="L4:U4"/>
    <mergeCell ref="L5:U5"/>
    <mergeCell ref="L6:U6"/>
    <mergeCell ref="L7:U7"/>
    <mergeCell ref="P8:R8"/>
    <mergeCell ref="S8:U8"/>
    <mergeCell ref="P9:R9"/>
    <mergeCell ref="S9:T9"/>
    <mergeCell ref="P10:R10"/>
    <mergeCell ref="L71:U71"/>
    <mergeCell ref="P72:R72"/>
    <mergeCell ref="S72:U72"/>
    <mergeCell ref="P73:R73"/>
    <mergeCell ref="S73:T73"/>
    <mergeCell ref="L66:U66"/>
    <mergeCell ref="S67:U67"/>
    <mergeCell ref="L68:U68"/>
    <mergeCell ref="L69:U69"/>
    <mergeCell ref="L70:U70"/>
    <mergeCell ref="P74:R74"/>
    <mergeCell ref="N80:Q80"/>
    <mergeCell ref="A81:A84"/>
    <mergeCell ref="B81:B84"/>
    <mergeCell ref="C81:C84"/>
    <mergeCell ref="D81:D84"/>
    <mergeCell ref="I81:I84"/>
    <mergeCell ref="J81:U81"/>
    <mergeCell ref="J82:J84"/>
    <mergeCell ref="K82:K84"/>
    <mergeCell ref="L82:L84"/>
    <mergeCell ref="M82:M84"/>
    <mergeCell ref="N82:N84"/>
    <mergeCell ref="O82:O84"/>
    <mergeCell ref="P82:P84"/>
    <mergeCell ref="Q82:Q84"/>
    <mergeCell ref="U85:U86"/>
    <mergeCell ref="E87:H87"/>
    <mergeCell ref="E88:H88"/>
    <mergeCell ref="E89:H89"/>
    <mergeCell ref="E90:H90"/>
    <mergeCell ref="R82:R84"/>
    <mergeCell ref="S82:S84"/>
    <mergeCell ref="T82:T84"/>
    <mergeCell ref="U82:U84"/>
    <mergeCell ref="I85:I86"/>
    <mergeCell ref="J85:J86"/>
    <mergeCell ref="K85:K86"/>
    <mergeCell ref="L85:L86"/>
    <mergeCell ref="M85:M86"/>
    <mergeCell ref="N85:N86"/>
    <mergeCell ref="O85:O86"/>
    <mergeCell ref="P85:P86"/>
    <mergeCell ref="Q85:Q86"/>
    <mergeCell ref="R85:R86"/>
    <mergeCell ref="S85:S86"/>
    <mergeCell ref="T85:T86"/>
    <mergeCell ref="E100:H100"/>
    <mergeCell ref="E102:H102"/>
    <mergeCell ref="E103:H103"/>
    <mergeCell ref="E104:H104"/>
    <mergeCell ref="I105:I106"/>
    <mergeCell ref="E91:H91"/>
    <mergeCell ref="E92:H92"/>
    <mergeCell ref="E93:H93"/>
    <mergeCell ref="E95:H95"/>
    <mergeCell ref="E96:H96"/>
    <mergeCell ref="E110:H110"/>
    <mergeCell ref="E111:H111"/>
    <mergeCell ref="E112:H112"/>
    <mergeCell ref="E113:H113"/>
    <mergeCell ref="I114:I115"/>
    <mergeCell ref="T105:T106"/>
    <mergeCell ref="U105:U106"/>
    <mergeCell ref="E107:H107"/>
    <mergeCell ref="E108:H108"/>
    <mergeCell ref="E109:H109"/>
    <mergeCell ref="O105:O106"/>
    <mergeCell ref="P105:P106"/>
    <mergeCell ref="Q105:Q106"/>
    <mergeCell ref="R105:R106"/>
    <mergeCell ref="S105:S106"/>
    <mergeCell ref="J105:J106"/>
    <mergeCell ref="K105:K106"/>
    <mergeCell ref="L105:L106"/>
    <mergeCell ref="M105:M106"/>
    <mergeCell ref="N105:N106"/>
    <mergeCell ref="E119:H119"/>
    <mergeCell ref="E120:H120"/>
    <mergeCell ref="E121:H121"/>
    <mergeCell ref="E122:H122"/>
    <mergeCell ref="E123:H123"/>
    <mergeCell ref="T114:T115"/>
    <mergeCell ref="U114:U115"/>
    <mergeCell ref="E116:H116"/>
    <mergeCell ref="E117:H117"/>
    <mergeCell ref="E118:H118"/>
    <mergeCell ref="O114:O115"/>
    <mergeCell ref="P114:P115"/>
    <mergeCell ref="Q114:Q115"/>
    <mergeCell ref="R114:R115"/>
    <mergeCell ref="S114:S115"/>
    <mergeCell ref="J114:J115"/>
    <mergeCell ref="K114:K115"/>
    <mergeCell ref="L114:L115"/>
    <mergeCell ref="M114:M115"/>
    <mergeCell ref="N114:N115"/>
    <mergeCell ref="L130:U130"/>
    <mergeCell ref="T142:T144"/>
    <mergeCell ref="U142:U144"/>
    <mergeCell ref="I145:I146"/>
    <mergeCell ref="J145:J146"/>
    <mergeCell ref="K145:K146"/>
    <mergeCell ref="L145:L146"/>
    <mergeCell ref="M145:M146"/>
    <mergeCell ref="E151:H151"/>
    <mergeCell ref="N145:N146"/>
    <mergeCell ref="O145:O146"/>
    <mergeCell ref="P145:P146"/>
    <mergeCell ref="Q145:Q146"/>
    <mergeCell ref="R145:R146"/>
    <mergeCell ref="S145:S146"/>
    <mergeCell ref="T145:T146"/>
    <mergeCell ref="U145:U146"/>
    <mergeCell ref="E147:H147"/>
    <mergeCell ref="E148:H148"/>
    <mergeCell ref="E149:H149"/>
    <mergeCell ref="E150:H150"/>
    <mergeCell ref="E167:H167"/>
    <mergeCell ref="E168:H168"/>
    <mergeCell ref="E169:H169"/>
    <mergeCell ref="E170:H170"/>
    <mergeCell ref="E171:H171"/>
    <mergeCell ref="E172:H172"/>
    <mergeCell ref="E173:H173"/>
    <mergeCell ref="E176:H176"/>
    <mergeCell ref="I174:I175"/>
    <mergeCell ref="E180:H180"/>
    <mergeCell ref="E181:H181"/>
    <mergeCell ref="E182:H182"/>
    <mergeCell ref="E183:H183"/>
    <mergeCell ref="L193:U193"/>
    <mergeCell ref="L194:U194"/>
    <mergeCell ref="L195:U195"/>
    <mergeCell ref="P196:R196"/>
    <mergeCell ref="S196:U196"/>
    <mergeCell ref="P197:R197"/>
    <mergeCell ref="S197:T197"/>
    <mergeCell ref="P198:R198"/>
    <mergeCell ref="N204:Q204"/>
    <mergeCell ref="A205:A208"/>
    <mergeCell ref="B205:B208"/>
    <mergeCell ref="C205:C208"/>
    <mergeCell ref="D205:D208"/>
    <mergeCell ref="I205:I208"/>
    <mergeCell ref="J205:U205"/>
    <mergeCell ref="J206:J208"/>
    <mergeCell ref="K206:K208"/>
    <mergeCell ref="L206:L208"/>
    <mergeCell ref="M206:M208"/>
    <mergeCell ref="N206:N208"/>
    <mergeCell ref="O206:O208"/>
    <mergeCell ref="P206:P208"/>
    <mergeCell ref="Q206:Q208"/>
    <mergeCell ref="R206:R208"/>
    <mergeCell ref="S206:S208"/>
    <mergeCell ref="T206:T208"/>
    <mergeCell ref="U206:U208"/>
    <mergeCell ref="R209:R210"/>
    <mergeCell ref="S209:S210"/>
    <mergeCell ref="T209:T210"/>
    <mergeCell ref="U209:U210"/>
    <mergeCell ref="E211:H211"/>
    <mergeCell ref="E212:H212"/>
    <mergeCell ref="E213:H213"/>
    <mergeCell ref="E214:H214"/>
    <mergeCell ref="E215:H215"/>
    <mergeCell ref="I209:I210"/>
    <mergeCell ref="J209:J210"/>
    <mergeCell ref="K209:K210"/>
    <mergeCell ref="L209:L210"/>
    <mergeCell ref="M209:M210"/>
    <mergeCell ref="N209:N210"/>
    <mergeCell ref="O209:O210"/>
    <mergeCell ref="P209:P210"/>
    <mergeCell ref="Q209:Q210"/>
    <mergeCell ref="E216:H216"/>
    <mergeCell ref="E217:H217"/>
    <mergeCell ref="E219:H219"/>
    <mergeCell ref="E220:H220"/>
    <mergeCell ref="E224:H224"/>
    <mergeCell ref="E226:H226"/>
    <mergeCell ref="E227:H227"/>
    <mergeCell ref="E228:H228"/>
    <mergeCell ref="I229:I230"/>
    <mergeCell ref="S229:S230"/>
    <mergeCell ref="T229:T230"/>
    <mergeCell ref="U229:U230"/>
    <mergeCell ref="E231:H231"/>
    <mergeCell ref="E232:H232"/>
    <mergeCell ref="E233:H233"/>
    <mergeCell ref="E234:H234"/>
    <mergeCell ref="E235:H235"/>
    <mergeCell ref="E236:H236"/>
    <mergeCell ref="J229:J230"/>
    <mergeCell ref="K229:K230"/>
    <mergeCell ref="L229:L230"/>
    <mergeCell ref="M229:M230"/>
    <mergeCell ref="N229:N230"/>
    <mergeCell ref="O229:O230"/>
    <mergeCell ref="P229:P230"/>
    <mergeCell ref="Q229:Q230"/>
    <mergeCell ref="R229:R230"/>
    <mergeCell ref="E237:H237"/>
    <mergeCell ref="I238:I239"/>
    <mergeCell ref="J238:J239"/>
    <mergeCell ref="K238:K239"/>
    <mergeCell ref="L238:L239"/>
    <mergeCell ref="M238:M239"/>
    <mergeCell ref="N238:N239"/>
    <mergeCell ref="O238:O239"/>
    <mergeCell ref="P238:P239"/>
    <mergeCell ref="E244:H244"/>
    <mergeCell ref="E245:H245"/>
    <mergeCell ref="E246:H246"/>
    <mergeCell ref="E247:H247"/>
    <mergeCell ref="Q238:Q239"/>
    <mergeCell ref="R238:R239"/>
    <mergeCell ref="S238:S239"/>
    <mergeCell ref="T238:T239"/>
    <mergeCell ref="U238:U239"/>
    <mergeCell ref="E240:H240"/>
    <mergeCell ref="E241:H241"/>
    <mergeCell ref="E242:H242"/>
    <mergeCell ref="E243:H243"/>
  </mergeCells>
  <pageMargins left="0.70866141732283472" right="0" top="0.15748031496062992" bottom="0" header="0.31496062992125984" footer="0.31496062992125984"/>
  <pageSetup paperSize="9" scale="60" orientation="landscape" horizontalDpi="180" verticalDpi="180" r:id="rId1"/>
  <rowBreaks count="1" manualBreakCount="1">
    <brk id="128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Y54"/>
  <sheetViews>
    <sheetView tabSelected="1" view="pageBreakPreview" zoomScale="89" zoomScaleSheetLayoutView="89" workbookViewId="0">
      <selection activeCell="T58" sqref="T58"/>
    </sheetView>
  </sheetViews>
  <sheetFormatPr defaultRowHeight="14.4"/>
  <cols>
    <col min="1" max="1" width="6" customWidth="1"/>
    <col min="2" max="2" width="5.09765625" customWidth="1"/>
    <col min="3" max="3" width="6.59765625" customWidth="1"/>
    <col min="8" max="8" width="15.796875" customWidth="1"/>
    <col min="9" max="9" width="9.3984375" customWidth="1"/>
    <col min="10" max="10" width="11" customWidth="1"/>
    <col min="11" max="12" width="10.5" customWidth="1"/>
    <col min="13" max="13" width="10.69921875" customWidth="1"/>
    <col min="14" max="14" width="10.5" customWidth="1"/>
    <col min="15" max="15" width="10.09765625" customWidth="1"/>
    <col min="16" max="16" width="11.296875" customWidth="1"/>
    <col min="17" max="17" width="9.59765625" customWidth="1"/>
    <col min="18" max="18" width="9.8984375" customWidth="1"/>
    <col min="19" max="19" width="11" customWidth="1"/>
    <col min="20" max="20" width="10.5" customWidth="1"/>
    <col min="21" max="21" width="10.3984375" customWidth="1"/>
    <col min="22" max="22" width="0.296875" hidden="1" customWidth="1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 t="s">
        <v>0</v>
      </c>
      <c r="T1" s="2"/>
      <c r="U1" s="2"/>
    </row>
    <row r="2" spans="1:2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205" t="s">
        <v>1</v>
      </c>
      <c r="M2" s="205"/>
      <c r="N2" s="205"/>
      <c r="O2" s="205"/>
      <c r="P2" s="205"/>
      <c r="Q2" s="205"/>
      <c r="R2" s="205"/>
      <c r="S2" s="205"/>
      <c r="T2" s="205"/>
      <c r="U2" s="205"/>
    </row>
    <row r="3" spans="1:21">
      <c r="A3" s="3"/>
      <c r="B3" s="3"/>
      <c r="C3" s="3"/>
      <c r="D3" s="3"/>
      <c r="E3" s="3"/>
      <c r="F3" s="3"/>
      <c r="K3" s="3"/>
      <c r="L3" s="4"/>
      <c r="M3" s="4"/>
      <c r="N3" s="4"/>
      <c r="O3" s="4"/>
      <c r="P3" s="4"/>
      <c r="Q3" s="4"/>
      <c r="R3" s="4"/>
      <c r="S3" s="208" t="s">
        <v>2</v>
      </c>
      <c r="T3" s="208"/>
      <c r="U3" s="208"/>
    </row>
    <row r="4" spans="1:2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205" t="s">
        <v>3</v>
      </c>
      <c r="M4" s="205"/>
      <c r="N4" s="205"/>
      <c r="O4" s="205"/>
      <c r="P4" s="205"/>
      <c r="Q4" s="205"/>
      <c r="R4" s="205"/>
      <c r="S4" s="205"/>
      <c r="T4" s="205"/>
      <c r="U4" s="205"/>
    </row>
    <row r="5" spans="1:2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205" t="s">
        <v>4</v>
      </c>
      <c r="M5" s="205"/>
      <c r="N5" s="205"/>
      <c r="O5" s="205"/>
      <c r="P5" s="205"/>
      <c r="Q5" s="205"/>
      <c r="R5" s="205"/>
      <c r="S5" s="205"/>
      <c r="T5" s="205"/>
      <c r="U5" s="205"/>
    </row>
    <row r="6" spans="1:2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205" t="s">
        <v>83</v>
      </c>
      <c r="M6" s="205"/>
      <c r="N6" s="205"/>
      <c r="O6" s="205"/>
      <c r="P6" s="205"/>
      <c r="Q6" s="205"/>
      <c r="R6" s="205"/>
      <c r="S6" s="205"/>
      <c r="T6" s="205"/>
      <c r="U6" s="205"/>
    </row>
    <row r="7" spans="1:2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205" t="s">
        <v>6</v>
      </c>
      <c r="M7" s="205"/>
      <c r="N7" s="205"/>
      <c r="O7" s="205"/>
      <c r="P7" s="205"/>
      <c r="Q7" s="205"/>
      <c r="R7" s="205"/>
      <c r="S7" s="205"/>
      <c r="T7" s="205"/>
      <c r="U7" s="205"/>
    </row>
    <row r="8" spans="1:2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5"/>
      <c r="M8" s="5"/>
      <c r="N8" s="5"/>
      <c r="O8" s="5"/>
      <c r="P8" s="206"/>
      <c r="Q8" s="206"/>
      <c r="R8" s="206"/>
      <c r="S8" s="207" t="s">
        <v>92</v>
      </c>
      <c r="T8" s="207"/>
      <c r="U8" s="207"/>
    </row>
    <row r="9" spans="1:2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5"/>
      <c r="M9" s="5"/>
      <c r="N9" s="5"/>
      <c r="O9" s="5"/>
      <c r="P9" s="177" t="s">
        <v>8</v>
      </c>
      <c r="Q9" s="177"/>
      <c r="R9" s="177"/>
      <c r="S9" s="178" t="s">
        <v>9</v>
      </c>
      <c r="T9" s="178"/>
      <c r="U9" s="5"/>
    </row>
    <row r="10" spans="1:2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5"/>
      <c r="M10" s="5"/>
      <c r="N10" s="5"/>
      <c r="O10" s="5"/>
      <c r="P10" s="179" t="s">
        <v>91</v>
      </c>
      <c r="Q10" s="179"/>
      <c r="R10" s="179"/>
      <c r="S10" s="6"/>
      <c r="T10" s="6"/>
      <c r="U10" s="6"/>
    </row>
    <row r="11" spans="1:21">
      <c r="A11" s="7"/>
      <c r="B11" s="8"/>
      <c r="C11" s="8"/>
      <c r="D11" s="8"/>
      <c r="E11" s="8" t="s">
        <v>10</v>
      </c>
      <c r="F11" s="8"/>
      <c r="G11" s="9"/>
      <c r="H11" s="7"/>
      <c r="I11" s="7"/>
      <c r="J11" s="7"/>
      <c r="K11" s="7"/>
      <c r="L11" s="7"/>
      <c r="M11" s="7"/>
      <c r="N11" s="7"/>
      <c r="O11" s="7"/>
      <c r="P11" s="10" t="s">
        <v>11</v>
      </c>
      <c r="Q11" s="10"/>
      <c r="R11" s="10"/>
      <c r="S11" s="7"/>
      <c r="T11" s="7"/>
      <c r="U11" s="7"/>
    </row>
    <row r="12" spans="1:21">
      <c r="A12" s="11" t="s">
        <v>12</v>
      </c>
      <c r="B12" s="11"/>
      <c r="C12" s="11"/>
      <c r="D12" s="12" t="s">
        <v>13</v>
      </c>
      <c r="E12" s="11" t="s">
        <v>14</v>
      </c>
      <c r="F12" s="13"/>
      <c r="G12" s="13"/>
      <c r="H12" s="13"/>
      <c r="I12" s="13"/>
      <c r="J12" s="13"/>
      <c r="K12" s="13"/>
      <c r="L12" s="13"/>
      <c r="M12" s="13"/>
      <c r="N12" s="14"/>
      <c r="O12" s="14"/>
      <c r="P12" s="14"/>
      <c r="Q12" s="13"/>
      <c r="R12" s="13"/>
      <c r="S12" s="13"/>
      <c r="T12" s="13"/>
      <c r="U12" s="13"/>
    </row>
    <row r="13" spans="1:21">
      <c r="A13" s="11" t="s">
        <v>15</v>
      </c>
      <c r="B13" s="15"/>
      <c r="C13" s="15"/>
      <c r="D13" s="15"/>
      <c r="E13" s="16" t="s">
        <v>86</v>
      </c>
      <c r="F13" s="13"/>
      <c r="G13" s="13"/>
      <c r="H13" s="13"/>
      <c r="I13" s="13"/>
      <c r="J13" s="13"/>
      <c r="K13" s="13"/>
      <c r="L13" s="13"/>
      <c r="M13" s="13"/>
      <c r="N13" s="14"/>
      <c r="O13" s="14"/>
      <c r="P13" s="14"/>
      <c r="Q13" s="13"/>
      <c r="R13" s="13"/>
      <c r="S13" s="13"/>
      <c r="T13" s="13"/>
      <c r="U13" s="13"/>
    </row>
    <row r="14" spans="1:21">
      <c r="A14" s="11" t="s">
        <v>16</v>
      </c>
      <c r="B14" s="11"/>
      <c r="C14" s="11"/>
      <c r="D14" s="11"/>
      <c r="E14" s="11" t="s">
        <v>17</v>
      </c>
      <c r="F14" s="17"/>
      <c r="G14" s="17"/>
      <c r="H14" s="17"/>
      <c r="I14" s="17"/>
      <c r="J14" s="17"/>
      <c r="K14" s="13"/>
      <c r="L14" s="13"/>
      <c r="M14" s="13"/>
      <c r="N14" s="14"/>
      <c r="O14" s="14"/>
      <c r="P14" s="14"/>
      <c r="Q14" s="13"/>
      <c r="R14" s="13"/>
      <c r="S14" s="13"/>
      <c r="T14" s="13"/>
      <c r="U14" s="13"/>
    </row>
    <row r="15" spans="1:21">
      <c r="A15" s="11" t="s">
        <v>18</v>
      </c>
      <c r="B15" s="11"/>
      <c r="C15" s="11"/>
      <c r="D15" s="11"/>
      <c r="E15" s="11"/>
      <c r="F15" s="18" t="s">
        <v>19</v>
      </c>
      <c r="G15" s="18"/>
      <c r="H15" s="14"/>
      <c r="I15" s="19"/>
      <c r="J15" s="14"/>
      <c r="K15" s="17"/>
      <c r="L15" s="17"/>
      <c r="M15" s="13"/>
      <c r="N15" s="14"/>
      <c r="O15" s="14"/>
      <c r="P15" s="14"/>
      <c r="Q15" s="20"/>
      <c r="R15" s="13"/>
      <c r="S15" s="13"/>
      <c r="T15" s="13"/>
      <c r="U15" s="13"/>
    </row>
    <row r="16" spans="1:21" ht="15" thickBot="1">
      <c r="A16" s="21" t="s">
        <v>20</v>
      </c>
      <c r="B16" s="21"/>
      <c r="C16" s="21"/>
      <c r="D16" s="21"/>
      <c r="E16" s="21"/>
      <c r="F16" s="22" t="s">
        <v>21</v>
      </c>
      <c r="G16" s="22"/>
      <c r="H16" s="14"/>
      <c r="I16" s="19"/>
      <c r="J16" s="14"/>
      <c r="K16" s="14"/>
      <c r="L16" s="14"/>
      <c r="M16" s="19"/>
      <c r="N16" s="180"/>
      <c r="O16" s="180"/>
      <c r="P16" s="180"/>
      <c r="Q16" s="180"/>
      <c r="R16" s="13"/>
      <c r="S16" s="13"/>
      <c r="T16" s="13"/>
      <c r="U16" s="13"/>
    </row>
    <row r="17" spans="1:21">
      <c r="A17" s="181" t="s">
        <v>22</v>
      </c>
      <c r="B17" s="184" t="s">
        <v>23</v>
      </c>
      <c r="C17" s="184" t="s">
        <v>24</v>
      </c>
      <c r="D17" s="187" t="s">
        <v>25</v>
      </c>
      <c r="E17" s="23"/>
      <c r="F17" s="23"/>
      <c r="G17" s="23"/>
      <c r="H17" s="24"/>
      <c r="I17" s="190" t="s">
        <v>87</v>
      </c>
      <c r="J17" s="193" t="s">
        <v>26</v>
      </c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5"/>
    </row>
    <row r="18" spans="1:21">
      <c r="A18" s="182"/>
      <c r="B18" s="185"/>
      <c r="C18" s="185"/>
      <c r="D18" s="188"/>
      <c r="E18" s="25"/>
      <c r="F18" s="25" t="s">
        <v>27</v>
      </c>
      <c r="G18" s="25"/>
      <c r="H18" s="26"/>
      <c r="I18" s="191"/>
      <c r="J18" s="196" t="s">
        <v>28</v>
      </c>
      <c r="K18" s="196" t="s">
        <v>29</v>
      </c>
      <c r="L18" s="199" t="s">
        <v>30</v>
      </c>
      <c r="M18" s="196" t="s">
        <v>31</v>
      </c>
      <c r="N18" s="199" t="s">
        <v>32</v>
      </c>
      <c r="O18" s="196" t="s">
        <v>33</v>
      </c>
      <c r="P18" s="199" t="s">
        <v>34</v>
      </c>
      <c r="Q18" s="196" t="s">
        <v>35</v>
      </c>
      <c r="R18" s="196" t="s">
        <v>36</v>
      </c>
      <c r="S18" s="196" t="s">
        <v>37</v>
      </c>
      <c r="T18" s="196" t="s">
        <v>38</v>
      </c>
      <c r="U18" s="202" t="s">
        <v>39</v>
      </c>
    </row>
    <row r="19" spans="1:21">
      <c r="A19" s="182"/>
      <c r="B19" s="185"/>
      <c r="C19" s="185"/>
      <c r="D19" s="188"/>
      <c r="E19" s="25"/>
      <c r="F19" s="25"/>
      <c r="G19" s="25"/>
      <c r="H19" s="26"/>
      <c r="I19" s="191"/>
      <c r="J19" s="197"/>
      <c r="K19" s="197"/>
      <c r="L19" s="200"/>
      <c r="M19" s="197"/>
      <c r="N19" s="200"/>
      <c r="O19" s="197"/>
      <c r="P19" s="200"/>
      <c r="Q19" s="197"/>
      <c r="R19" s="197"/>
      <c r="S19" s="197"/>
      <c r="T19" s="197"/>
      <c r="U19" s="203"/>
    </row>
    <row r="20" spans="1:21" ht="15" thickBot="1">
      <c r="A20" s="183"/>
      <c r="B20" s="186"/>
      <c r="C20" s="186"/>
      <c r="D20" s="189"/>
      <c r="E20" s="27"/>
      <c r="F20" s="27"/>
      <c r="G20" s="27"/>
      <c r="H20" s="28"/>
      <c r="I20" s="192"/>
      <c r="J20" s="198"/>
      <c r="K20" s="198"/>
      <c r="L20" s="201"/>
      <c r="M20" s="198"/>
      <c r="N20" s="201"/>
      <c r="O20" s="198"/>
      <c r="P20" s="201"/>
      <c r="Q20" s="198"/>
      <c r="R20" s="198"/>
      <c r="S20" s="198"/>
      <c r="T20" s="198"/>
      <c r="U20" s="204"/>
    </row>
    <row r="21" spans="1:21">
      <c r="A21" s="62" t="s">
        <v>90</v>
      </c>
      <c r="B21" s="30" t="s">
        <v>88</v>
      </c>
      <c r="C21" s="31" t="s">
        <v>89</v>
      </c>
      <c r="D21" s="32"/>
      <c r="E21" s="33" t="s">
        <v>43</v>
      </c>
      <c r="F21" s="33"/>
      <c r="G21" s="33"/>
      <c r="H21" s="34"/>
      <c r="I21" s="173">
        <f>SUM(J21:U22)</f>
        <v>61021</v>
      </c>
      <c r="J21" s="173">
        <f>SUM(J23:J38)</f>
        <v>4721</v>
      </c>
      <c r="K21" s="173">
        <f t="shared" ref="K21:U21" si="0">SUM(K23:K38)</f>
        <v>4923</v>
      </c>
      <c r="L21" s="176">
        <f t="shared" si="0"/>
        <v>5383</v>
      </c>
      <c r="M21" s="173">
        <f t="shared" si="0"/>
        <v>3162</v>
      </c>
      <c r="N21" s="176">
        <f t="shared" si="0"/>
        <v>4133</v>
      </c>
      <c r="O21" s="173">
        <f t="shared" si="0"/>
        <v>5900</v>
      </c>
      <c r="P21" s="176">
        <f t="shared" si="0"/>
        <v>3536</v>
      </c>
      <c r="Q21" s="173">
        <f t="shared" si="0"/>
        <v>2000</v>
      </c>
      <c r="R21" s="173">
        <f t="shared" si="0"/>
        <v>11124</v>
      </c>
      <c r="S21" s="173">
        <f t="shared" si="0"/>
        <v>5432</v>
      </c>
      <c r="T21" s="173">
        <f t="shared" si="0"/>
        <v>5553</v>
      </c>
      <c r="U21" s="174">
        <f t="shared" si="0"/>
        <v>5154</v>
      </c>
    </row>
    <row r="22" spans="1:21" ht="15" thickBot="1">
      <c r="A22" s="35"/>
      <c r="B22" s="36"/>
      <c r="C22" s="37"/>
      <c r="D22" s="38"/>
      <c r="E22" s="39" t="s">
        <v>44</v>
      </c>
      <c r="F22" s="39"/>
      <c r="G22" s="39"/>
      <c r="H22" s="40"/>
      <c r="I22" s="152"/>
      <c r="J22" s="152"/>
      <c r="K22" s="152"/>
      <c r="L22" s="154"/>
      <c r="M22" s="152"/>
      <c r="N22" s="154"/>
      <c r="O22" s="152"/>
      <c r="P22" s="154"/>
      <c r="Q22" s="152"/>
      <c r="R22" s="152"/>
      <c r="S22" s="152"/>
      <c r="T22" s="152"/>
      <c r="U22" s="175"/>
    </row>
    <row r="23" spans="1:21">
      <c r="A23" s="41"/>
      <c r="B23" s="41"/>
      <c r="C23" s="41"/>
      <c r="D23" s="42">
        <v>111</v>
      </c>
      <c r="E23" s="155" t="s">
        <v>45</v>
      </c>
      <c r="F23" s="156"/>
      <c r="G23" s="156"/>
      <c r="H23" s="157"/>
      <c r="I23" s="71">
        <f>SUM(J23:U23)</f>
        <v>48318.5</v>
      </c>
      <c r="J23" s="43">
        <v>4230</v>
      </c>
      <c r="K23" s="44">
        <v>3171</v>
      </c>
      <c r="L23" s="43">
        <v>3820</v>
      </c>
      <c r="M23" s="44">
        <f>4590-2538</f>
        <v>2052</v>
      </c>
      <c r="N23" s="44">
        <f>2530+2400+1359-2400-1359-25-2+400</f>
        <v>2903</v>
      </c>
      <c r="O23" s="44">
        <f>2770+2400+1359-400-1929</f>
        <v>4200</v>
      </c>
      <c r="P23" s="44">
        <f>2130+946.5-24</f>
        <v>3052.5</v>
      </c>
      <c r="Q23" s="44">
        <f>1636-24</f>
        <v>1612</v>
      </c>
      <c r="R23" s="43">
        <f>4530+312+4730</f>
        <v>9572</v>
      </c>
      <c r="S23" s="43">
        <v>4530</v>
      </c>
      <c r="T23" s="43">
        <v>4530</v>
      </c>
      <c r="U23" s="43">
        <v>4646</v>
      </c>
    </row>
    <row r="24" spans="1:21">
      <c r="A24" s="41"/>
      <c r="B24" s="41"/>
      <c r="C24" s="41"/>
      <c r="D24" s="42">
        <v>113</v>
      </c>
      <c r="E24" s="158" t="s">
        <v>46</v>
      </c>
      <c r="F24" s="159"/>
      <c r="G24" s="159"/>
      <c r="H24" s="160"/>
      <c r="I24" s="71">
        <f>SUM(J24:U24)</f>
        <v>1953.5</v>
      </c>
      <c r="J24" s="45"/>
      <c r="K24" s="46"/>
      <c r="L24" s="46"/>
      <c r="M24" s="46">
        <v>400</v>
      </c>
      <c r="N24" s="46">
        <f>900-400</f>
        <v>500</v>
      </c>
      <c r="O24" s="46">
        <v>1000</v>
      </c>
      <c r="P24" s="46">
        <f>1000-946.5</f>
        <v>53.5</v>
      </c>
      <c r="Q24" s="46">
        <f>312-312</f>
        <v>0</v>
      </c>
      <c r="R24" s="46"/>
      <c r="S24" s="46"/>
      <c r="T24" s="46"/>
      <c r="U24" s="46"/>
    </row>
    <row r="25" spans="1:21">
      <c r="A25" s="42"/>
      <c r="B25" s="42"/>
      <c r="C25" s="42"/>
      <c r="D25" s="42">
        <v>121</v>
      </c>
      <c r="E25" s="158" t="s">
        <v>47</v>
      </c>
      <c r="F25" s="159"/>
      <c r="G25" s="159"/>
      <c r="H25" s="160"/>
      <c r="I25" s="140">
        <f>SUM(J25:U25)</f>
        <v>2642</v>
      </c>
      <c r="J25" s="45">
        <v>245</v>
      </c>
      <c r="K25" s="45">
        <v>245</v>
      </c>
      <c r="L25" s="45">
        <v>245</v>
      </c>
      <c r="M25" s="46">
        <f>245-200</f>
        <v>45</v>
      </c>
      <c r="N25" s="46">
        <f>245+200-200</f>
        <v>245</v>
      </c>
      <c r="O25" s="46">
        <f>71+200-200</f>
        <v>71</v>
      </c>
      <c r="P25" s="46">
        <f>119</f>
        <v>119</v>
      </c>
      <c r="Q25" s="46">
        <f>245+200-295</f>
        <v>150</v>
      </c>
      <c r="R25" s="45">
        <f>245+295</f>
        <v>540</v>
      </c>
      <c r="S25" s="45">
        <v>245</v>
      </c>
      <c r="T25" s="45">
        <v>245</v>
      </c>
      <c r="U25" s="45">
        <v>247</v>
      </c>
    </row>
    <row r="26" spans="1:21">
      <c r="A26" s="47"/>
      <c r="B26" s="47"/>
      <c r="C26" s="47"/>
      <c r="D26" s="47">
        <v>122</v>
      </c>
      <c r="E26" s="161" t="s">
        <v>48</v>
      </c>
      <c r="F26" s="162"/>
      <c r="G26" s="162"/>
      <c r="H26" s="163"/>
      <c r="I26" s="140"/>
      <c r="J26" s="48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</row>
    <row r="27" spans="1:21">
      <c r="A27" s="51"/>
      <c r="B27" s="51"/>
      <c r="C27" s="51"/>
      <c r="D27" s="51"/>
      <c r="E27" s="144" t="s">
        <v>49</v>
      </c>
      <c r="F27" s="145"/>
      <c r="G27" s="145"/>
      <c r="H27" s="146"/>
      <c r="I27" s="75">
        <f>SUM(J27:U27)</f>
        <v>1526</v>
      </c>
      <c r="J27" s="45">
        <v>143</v>
      </c>
      <c r="K27" s="45">
        <v>143</v>
      </c>
      <c r="L27" s="45">
        <v>143</v>
      </c>
      <c r="M27" s="46">
        <f>143-143</f>
        <v>0</v>
      </c>
      <c r="N27" s="46">
        <f>143+143-143</f>
        <v>143</v>
      </c>
      <c r="O27" s="46">
        <f>72+143-143</f>
        <v>72</v>
      </c>
      <c r="P27" s="46">
        <f>72</f>
        <v>72</v>
      </c>
      <c r="Q27" s="46">
        <f>95+143-198</f>
        <v>40</v>
      </c>
      <c r="R27" s="45">
        <f>143+198</f>
        <v>341</v>
      </c>
      <c r="S27" s="45">
        <v>143</v>
      </c>
      <c r="T27" s="45">
        <v>143</v>
      </c>
      <c r="U27" s="45">
        <v>143</v>
      </c>
    </row>
    <row r="28" spans="1:21">
      <c r="A28" s="42"/>
      <c r="B28" s="42"/>
      <c r="C28" s="42"/>
      <c r="D28" s="42">
        <v>123</v>
      </c>
      <c r="E28" s="161" t="s">
        <v>50</v>
      </c>
      <c r="F28" s="162"/>
      <c r="G28" s="162"/>
      <c r="H28" s="163"/>
      <c r="I28" s="140">
        <f>J28+K28+L28+M28+N28+O28+P28+Q28+R28+S28+T28+U28</f>
        <v>26</v>
      </c>
      <c r="J28" s="45"/>
      <c r="K28" s="46"/>
      <c r="L28" s="46"/>
      <c r="M28" s="46"/>
      <c r="N28" s="46"/>
      <c r="O28" s="46"/>
      <c r="P28" s="46"/>
      <c r="Q28" s="46"/>
      <c r="R28" s="46">
        <v>26</v>
      </c>
      <c r="S28" s="46"/>
      <c r="T28" s="46"/>
      <c r="U28" s="46"/>
    </row>
    <row r="29" spans="1:21">
      <c r="A29" s="51"/>
      <c r="B29" s="51"/>
      <c r="C29" s="51"/>
      <c r="D29" s="51">
        <v>124</v>
      </c>
      <c r="E29" s="147" t="s">
        <v>51</v>
      </c>
      <c r="F29" s="148"/>
      <c r="G29" s="148"/>
      <c r="H29" s="149"/>
      <c r="I29" s="71">
        <f>SUM(J29:U29)</f>
        <v>940</v>
      </c>
      <c r="J29" s="53">
        <v>90</v>
      </c>
      <c r="K29" s="53">
        <v>90</v>
      </c>
      <c r="L29" s="53">
        <v>90</v>
      </c>
      <c r="M29" s="53">
        <f>90-90</f>
        <v>0</v>
      </c>
      <c r="N29" s="53">
        <f>90+90-90</f>
        <v>90</v>
      </c>
      <c r="O29" s="53">
        <f>40+90-90</f>
        <v>40</v>
      </c>
      <c r="P29" s="53">
        <f>40</f>
        <v>40</v>
      </c>
      <c r="Q29" s="53">
        <f>40+90-110</f>
        <v>20</v>
      </c>
      <c r="R29" s="53">
        <f>90+110</f>
        <v>200</v>
      </c>
      <c r="S29" s="53">
        <v>90</v>
      </c>
      <c r="T29" s="53">
        <v>90</v>
      </c>
      <c r="U29" s="53">
        <v>100</v>
      </c>
    </row>
    <row r="30" spans="1:21">
      <c r="A30" s="42"/>
      <c r="B30" s="42"/>
      <c r="C30" s="42"/>
      <c r="D30" s="42">
        <v>142</v>
      </c>
      <c r="E30" s="54" t="s">
        <v>52</v>
      </c>
      <c r="F30" s="54"/>
      <c r="G30" s="54"/>
      <c r="H30" s="54"/>
      <c r="I30" s="71">
        <f>J30+K30+L30+M30+N30+O30+P30+Q30+R30+S30+T30+U30</f>
        <v>50</v>
      </c>
      <c r="J30" s="45"/>
      <c r="K30" s="46"/>
      <c r="L30" s="46">
        <v>50</v>
      </c>
      <c r="M30" s="46"/>
      <c r="N30" s="46"/>
      <c r="O30" s="46"/>
      <c r="P30" s="46"/>
      <c r="Q30" s="46"/>
      <c r="R30" s="46"/>
      <c r="S30" s="46"/>
      <c r="T30" s="46"/>
      <c r="U30" s="46"/>
    </row>
    <row r="31" spans="1:21">
      <c r="A31" s="41"/>
      <c r="B31" s="41"/>
      <c r="C31" s="41"/>
      <c r="D31" s="41">
        <v>143</v>
      </c>
      <c r="E31" s="164" t="s">
        <v>53</v>
      </c>
      <c r="F31" s="165"/>
      <c r="G31" s="165"/>
      <c r="H31" s="166"/>
      <c r="I31" s="75">
        <f>SUM(J31:U31)</f>
        <v>0</v>
      </c>
      <c r="J31" s="55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</row>
    <row r="32" spans="1:21">
      <c r="A32" s="41"/>
      <c r="B32" s="41"/>
      <c r="C32" s="41"/>
      <c r="D32" s="41">
        <v>144</v>
      </c>
      <c r="E32" s="164" t="s">
        <v>54</v>
      </c>
      <c r="F32" s="165"/>
      <c r="G32" s="165"/>
      <c r="H32" s="166"/>
      <c r="I32" s="75">
        <f t="shared" ref="I32:I38" si="1">SUM(J32:U32)</f>
        <v>250</v>
      </c>
      <c r="J32" s="55"/>
      <c r="K32" s="44">
        <v>250</v>
      </c>
      <c r="L32" s="44"/>
      <c r="M32" s="44"/>
      <c r="N32" s="44"/>
      <c r="O32" s="44"/>
      <c r="P32" s="44"/>
      <c r="Q32" s="44"/>
      <c r="R32" s="44"/>
      <c r="S32" s="44"/>
      <c r="T32" s="44"/>
      <c r="U32" s="44"/>
    </row>
    <row r="33" spans="1:25">
      <c r="A33" s="80"/>
      <c r="B33" s="80"/>
      <c r="C33" s="80"/>
      <c r="D33" s="80">
        <v>149</v>
      </c>
      <c r="E33" s="81" t="s">
        <v>55</v>
      </c>
      <c r="F33" s="81"/>
      <c r="G33" s="81"/>
      <c r="H33" s="81"/>
      <c r="I33" s="71">
        <f t="shared" si="1"/>
        <v>650</v>
      </c>
      <c r="J33" s="46"/>
      <c r="K33" s="46"/>
      <c r="L33" s="46"/>
      <c r="M33" s="46">
        <v>150</v>
      </c>
      <c r="N33" s="46"/>
      <c r="O33" s="46">
        <v>300</v>
      </c>
      <c r="P33" s="46"/>
      <c r="Q33" s="46"/>
      <c r="R33" s="46">
        <v>200</v>
      </c>
      <c r="S33" s="46"/>
      <c r="T33" s="46"/>
      <c r="U33" s="46"/>
    </row>
    <row r="34" spans="1:25">
      <c r="A34" s="80"/>
      <c r="B34" s="80"/>
      <c r="C34" s="80"/>
      <c r="D34" s="80">
        <v>151</v>
      </c>
      <c r="E34" s="81" t="s">
        <v>56</v>
      </c>
      <c r="F34" s="81"/>
      <c r="G34" s="81"/>
      <c r="H34" s="81"/>
      <c r="I34" s="71">
        <f t="shared" si="1"/>
        <v>3500</v>
      </c>
      <c r="J34" s="46"/>
      <c r="K34" s="46">
        <v>1000</v>
      </c>
      <c r="L34" s="46">
        <v>500</v>
      </c>
      <c r="M34" s="46">
        <v>350</v>
      </c>
      <c r="N34" s="46">
        <f>100+130-30</f>
        <v>200</v>
      </c>
      <c r="O34" s="46">
        <f>100+30-30</f>
        <v>100</v>
      </c>
      <c r="P34" s="46">
        <v>150</v>
      </c>
      <c r="Q34" s="46">
        <v>130</v>
      </c>
      <c r="R34" s="46">
        <v>150</v>
      </c>
      <c r="S34" s="46">
        <v>400</v>
      </c>
      <c r="T34" s="46">
        <v>520</v>
      </c>
      <c r="U34" s="46"/>
    </row>
    <row r="35" spans="1:25">
      <c r="A35" s="80"/>
      <c r="B35" s="80"/>
      <c r="C35" s="80"/>
      <c r="D35" s="80">
        <v>152</v>
      </c>
      <c r="E35" s="83" t="s">
        <v>57</v>
      </c>
      <c r="F35" s="81"/>
      <c r="G35" s="81"/>
      <c r="H35" s="84"/>
      <c r="I35" s="71">
        <f t="shared" si="1"/>
        <v>302</v>
      </c>
      <c r="J35" s="46"/>
      <c r="K35" s="46">
        <f>12</f>
        <v>12</v>
      </c>
      <c r="L35" s="46">
        <v>72</v>
      </c>
      <c r="M35" s="46">
        <f>12+18</f>
        <v>30</v>
      </c>
      <c r="N35" s="46">
        <f>12+25</f>
        <v>37</v>
      </c>
      <c r="O35" s="46">
        <f>12+25</f>
        <v>37</v>
      </c>
      <c r="P35" s="46">
        <f>12+24</f>
        <v>36</v>
      </c>
      <c r="Q35" s="46">
        <f>12+24</f>
        <v>36</v>
      </c>
      <c r="R35" s="46">
        <v>12</v>
      </c>
      <c r="S35" s="46">
        <v>12</v>
      </c>
      <c r="T35" s="46">
        <v>12</v>
      </c>
      <c r="U35" s="46">
        <v>6</v>
      </c>
    </row>
    <row r="36" spans="1:25">
      <c r="A36" s="80"/>
      <c r="B36" s="80"/>
      <c r="C36" s="80"/>
      <c r="D36" s="80">
        <v>159</v>
      </c>
      <c r="E36" s="167" t="s">
        <v>58</v>
      </c>
      <c r="F36" s="168"/>
      <c r="G36" s="168"/>
      <c r="H36" s="169"/>
      <c r="I36" s="71">
        <f t="shared" si="1"/>
        <v>776</v>
      </c>
      <c r="J36" s="46">
        <v>13</v>
      </c>
      <c r="K36" s="46">
        <f>12</f>
        <v>12</v>
      </c>
      <c r="L36" s="46">
        <v>463</v>
      </c>
      <c r="M36" s="46">
        <v>120</v>
      </c>
      <c r="N36" s="46">
        <f>13</f>
        <v>13</v>
      </c>
      <c r="O36" s="46">
        <f>12+68</f>
        <v>80</v>
      </c>
      <c r="P36" s="46">
        <v>13</v>
      </c>
      <c r="Q36" s="46">
        <v>12</v>
      </c>
      <c r="R36" s="46">
        <v>13</v>
      </c>
      <c r="S36" s="46">
        <v>12</v>
      </c>
      <c r="T36" s="46">
        <v>13</v>
      </c>
      <c r="U36" s="46">
        <v>12</v>
      </c>
    </row>
    <row r="37" spans="1:25">
      <c r="A37" s="42"/>
      <c r="B37" s="42"/>
      <c r="C37" s="42"/>
      <c r="D37" s="42">
        <v>161</v>
      </c>
      <c r="E37" s="136" t="s">
        <v>59</v>
      </c>
      <c r="F37" s="137"/>
      <c r="G37" s="137"/>
      <c r="H37" s="138"/>
      <c r="I37" s="71">
        <f t="shared" si="1"/>
        <v>0</v>
      </c>
      <c r="J37" s="45"/>
      <c r="K37" s="46">
        <v>0</v>
      </c>
      <c r="L37" s="46"/>
      <c r="M37" s="46"/>
      <c r="N37" s="46"/>
      <c r="O37" s="46"/>
      <c r="P37" s="46"/>
      <c r="Q37" s="46"/>
      <c r="R37" s="46"/>
      <c r="S37" s="46"/>
      <c r="T37" s="46"/>
      <c r="U37" s="46"/>
    </row>
    <row r="38" spans="1:25">
      <c r="A38" s="42"/>
      <c r="B38" s="42"/>
      <c r="C38" s="42"/>
      <c r="D38" s="42">
        <v>169</v>
      </c>
      <c r="E38" s="158" t="s">
        <v>60</v>
      </c>
      <c r="F38" s="159"/>
      <c r="G38" s="159"/>
      <c r="H38" s="160"/>
      <c r="I38" s="71">
        <f t="shared" si="1"/>
        <v>87</v>
      </c>
      <c r="J38" s="45"/>
      <c r="K38" s="46"/>
      <c r="L38" s="46"/>
      <c r="M38" s="46">
        <v>15</v>
      </c>
      <c r="N38" s="46">
        <v>2</v>
      </c>
      <c r="O38" s="46">
        <f>20-20</f>
        <v>0</v>
      </c>
      <c r="P38" s="46">
        <v>0</v>
      </c>
      <c r="Q38" s="46">
        <v>0</v>
      </c>
      <c r="R38" s="46">
        <v>70</v>
      </c>
      <c r="S38" s="46"/>
      <c r="T38" s="46"/>
      <c r="U38" s="46"/>
    </row>
    <row r="39" spans="1:25" ht="15" thickBot="1">
      <c r="A39" s="47"/>
      <c r="B39" s="47"/>
      <c r="C39" s="47"/>
      <c r="D39" s="59"/>
      <c r="E39" s="170" t="s">
        <v>61</v>
      </c>
      <c r="F39" s="171"/>
      <c r="G39" s="171"/>
      <c r="H39" s="172"/>
      <c r="I39" s="140">
        <f>SUM(J39:U39)</f>
        <v>61021</v>
      </c>
      <c r="J39" s="139">
        <f>SUM(J23:J38)</f>
        <v>4721</v>
      </c>
      <c r="K39" s="139">
        <f>SUM(K23:K38)</f>
        <v>4923</v>
      </c>
      <c r="L39" s="140">
        <f t="shared" ref="L39" si="2">SUM(L23:L38)</f>
        <v>5383</v>
      </c>
      <c r="M39" s="140">
        <f>SUM(M23:M38)</f>
        <v>3162</v>
      </c>
      <c r="N39" s="140">
        <f>SUM(N23:N38)</f>
        <v>4133</v>
      </c>
      <c r="O39" s="140">
        <f t="shared" ref="O39:U39" si="3">SUM(O23:O38)</f>
        <v>5900</v>
      </c>
      <c r="P39" s="140">
        <f t="shared" si="3"/>
        <v>3536</v>
      </c>
      <c r="Q39" s="142">
        <f t="shared" si="3"/>
        <v>2000</v>
      </c>
      <c r="R39" s="139">
        <f t="shared" si="3"/>
        <v>11124</v>
      </c>
      <c r="S39" s="139">
        <f t="shared" si="3"/>
        <v>5432</v>
      </c>
      <c r="T39" s="139">
        <f t="shared" si="3"/>
        <v>5553</v>
      </c>
      <c r="U39" s="140">
        <f t="shared" si="3"/>
        <v>5154</v>
      </c>
      <c r="Y39" s="141"/>
    </row>
    <row r="40" spans="1:25">
      <c r="A40" s="62" t="s">
        <v>90</v>
      </c>
      <c r="B40" s="63" t="s">
        <v>88</v>
      </c>
      <c r="C40" s="64" t="s">
        <v>62</v>
      </c>
      <c r="D40" s="65"/>
      <c r="E40" s="66" t="s">
        <v>43</v>
      </c>
      <c r="F40" s="66"/>
      <c r="G40" s="66"/>
      <c r="H40" s="67"/>
      <c r="I40" s="153">
        <f>SUM(J40:U41)</f>
        <v>10128</v>
      </c>
      <c r="J40" s="151">
        <f>SUM(J42:J47)</f>
        <v>0</v>
      </c>
      <c r="K40" s="151">
        <f t="shared" ref="K40:U40" si="4">SUM(K42:K47)</f>
        <v>1814</v>
      </c>
      <c r="L40" s="151">
        <f t="shared" si="4"/>
        <v>707</v>
      </c>
      <c r="M40" s="151">
        <f t="shared" si="4"/>
        <v>1005</v>
      </c>
      <c r="N40" s="153">
        <f t="shared" si="4"/>
        <v>1510</v>
      </c>
      <c r="O40" s="153">
        <f t="shared" si="4"/>
        <v>1292</v>
      </c>
      <c r="P40" s="153">
        <f t="shared" si="4"/>
        <v>0</v>
      </c>
      <c r="Q40" s="153">
        <f t="shared" si="4"/>
        <v>260</v>
      </c>
      <c r="R40" s="151">
        <f t="shared" si="4"/>
        <v>0</v>
      </c>
      <c r="S40" s="151">
        <f t="shared" si="4"/>
        <v>0</v>
      </c>
      <c r="T40" s="151">
        <f t="shared" si="4"/>
        <v>0</v>
      </c>
      <c r="U40" s="211">
        <f t="shared" si="4"/>
        <v>3540</v>
      </c>
    </row>
    <row r="41" spans="1:25" ht="15" thickBot="1">
      <c r="A41" s="35"/>
      <c r="B41" s="36"/>
      <c r="C41" s="37"/>
      <c r="D41" s="38"/>
      <c r="E41" s="39" t="s">
        <v>44</v>
      </c>
      <c r="F41" s="39"/>
      <c r="G41" s="39"/>
      <c r="H41" s="40"/>
      <c r="I41" s="154"/>
      <c r="J41" s="152"/>
      <c r="K41" s="152"/>
      <c r="L41" s="152"/>
      <c r="M41" s="152"/>
      <c r="N41" s="154"/>
      <c r="O41" s="154"/>
      <c r="P41" s="154"/>
      <c r="Q41" s="154"/>
      <c r="R41" s="152"/>
      <c r="S41" s="152"/>
      <c r="T41" s="152"/>
      <c r="U41" s="212"/>
    </row>
    <row r="42" spans="1:25">
      <c r="A42" s="41"/>
      <c r="B42" s="41"/>
      <c r="C42" s="41"/>
      <c r="D42" s="42">
        <v>111</v>
      </c>
      <c r="E42" s="155" t="s">
        <v>45</v>
      </c>
      <c r="F42" s="156"/>
      <c r="G42" s="156"/>
      <c r="H42" s="157"/>
      <c r="I42" s="68">
        <f>SUM(J42:U42)</f>
        <v>8639.5</v>
      </c>
      <c r="J42" s="43"/>
      <c r="K42" s="43">
        <v>1600</v>
      </c>
      <c r="L42" s="43">
        <v>600</v>
      </c>
      <c r="M42" s="44">
        <f>400+350</f>
        <v>750</v>
      </c>
      <c r="N42" s="44">
        <v>1100</v>
      </c>
      <c r="O42" s="44">
        <f>1137+10.5</f>
        <v>1147.5</v>
      </c>
      <c r="P42" s="43">
        <f>500-500</f>
        <v>0</v>
      </c>
      <c r="Q42" s="44">
        <v>250</v>
      </c>
      <c r="R42" s="43">
        <f>400-313-87</f>
        <v>0</v>
      </c>
      <c r="S42" s="43">
        <f>400-400</f>
        <v>0</v>
      </c>
      <c r="T42" s="43">
        <f>400-400</f>
        <v>0</v>
      </c>
      <c r="U42" s="43">
        <v>3192</v>
      </c>
    </row>
    <row r="43" spans="1:25">
      <c r="A43" s="41"/>
      <c r="B43" s="41"/>
      <c r="C43" s="41"/>
      <c r="D43" s="42">
        <v>113</v>
      </c>
      <c r="E43" s="158" t="s">
        <v>46</v>
      </c>
      <c r="F43" s="159"/>
      <c r="G43" s="159"/>
      <c r="H43" s="160"/>
      <c r="I43" s="68">
        <f>SUM(J43:U43)</f>
        <v>569.5</v>
      </c>
      <c r="J43" s="45"/>
      <c r="K43" s="45"/>
      <c r="L43" s="46"/>
      <c r="M43" s="46">
        <v>200</v>
      </c>
      <c r="N43" s="46">
        <v>270</v>
      </c>
      <c r="O43" s="46">
        <v>99.5</v>
      </c>
      <c r="P43" s="46"/>
      <c r="Q43" s="46"/>
      <c r="R43" s="46"/>
      <c r="S43" s="46"/>
      <c r="T43" s="46"/>
      <c r="U43" s="46"/>
    </row>
    <row r="44" spans="1:25">
      <c r="A44" s="42"/>
      <c r="B44" s="42"/>
      <c r="C44" s="42"/>
      <c r="D44" s="42">
        <v>121</v>
      </c>
      <c r="E44" s="158" t="s">
        <v>47</v>
      </c>
      <c r="F44" s="159"/>
      <c r="G44" s="159"/>
      <c r="H44" s="160"/>
      <c r="I44" s="139">
        <f>SUM(J44:U44)</f>
        <v>490</v>
      </c>
      <c r="J44" s="45"/>
      <c r="K44" s="45">
        <v>100</v>
      </c>
      <c r="L44" s="45">
        <v>50</v>
      </c>
      <c r="M44" s="46">
        <v>45</v>
      </c>
      <c r="N44" s="46">
        <v>70</v>
      </c>
      <c r="O44" s="46">
        <v>30</v>
      </c>
      <c r="P44" s="45"/>
      <c r="Q44" s="46">
        <v>10</v>
      </c>
      <c r="R44" s="45"/>
      <c r="S44" s="45"/>
      <c r="T44" s="45"/>
      <c r="U44" s="45">
        <v>185</v>
      </c>
    </row>
    <row r="45" spans="1:25">
      <c r="A45" s="47"/>
      <c r="B45" s="47"/>
      <c r="C45" s="47"/>
      <c r="D45" s="47">
        <v>122</v>
      </c>
      <c r="E45" s="161" t="s">
        <v>48</v>
      </c>
      <c r="F45" s="162"/>
      <c r="G45" s="162"/>
      <c r="H45" s="163"/>
      <c r="I45" s="68"/>
      <c r="J45" s="48"/>
      <c r="K45" s="49"/>
      <c r="L45" s="50"/>
      <c r="M45" s="50"/>
      <c r="N45" s="50"/>
      <c r="O45" s="50"/>
      <c r="P45" s="50"/>
      <c r="Q45" s="50"/>
      <c r="R45" s="50"/>
      <c r="S45" s="50"/>
      <c r="T45" s="50"/>
      <c r="U45" s="50"/>
    </row>
    <row r="46" spans="1:25">
      <c r="A46" s="51"/>
      <c r="B46" s="51"/>
      <c r="C46" s="51"/>
      <c r="D46" s="51"/>
      <c r="E46" s="144" t="s">
        <v>49</v>
      </c>
      <c r="F46" s="145"/>
      <c r="G46" s="145"/>
      <c r="H46" s="146"/>
      <c r="I46" s="69">
        <f>SUM(J46:U46)</f>
        <v>269</v>
      </c>
      <c r="J46" s="45"/>
      <c r="K46" s="45">
        <v>64</v>
      </c>
      <c r="L46" s="45">
        <v>32</v>
      </c>
      <c r="M46" s="46">
        <v>10</v>
      </c>
      <c r="N46" s="46">
        <v>50</v>
      </c>
      <c r="O46" s="46">
        <v>10</v>
      </c>
      <c r="P46" s="45"/>
      <c r="Q46" s="46"/>
      <c r="R46" s="45"/>
      <c r="S46" s="45"/>
      <c r="T46" s="45"/>
      <c r="U46" s="45">
        <v>103</v>
      </c>
    </row>
    <row r="47" spans="1:25">
      <c r="A47" s="42"/>
      <c r="B47" s="42"/>
      <c r="C47" s="42"/>
      <c r="D47" s="42">
        <v>124</v>
      </c>
      <c r="E47" s="147" t="s">
        <v>51</v>
      </c>
      <c r="F47" s="148"/>
      <c r="G47" s="148"/>
      <c r="H47" s="149"/>
      <c r="I47" s="139">
        <f>SUM(J47:U47)</f>
        <v>160</v>
      </c>
      <c r="J47" s="52"/>
      <c r="K47" s="52">
        <v>50</v>
      </c>
      <c r="L47" s="52">
        <v>25</v>
      </c>
      <c r="M47" s="53"/>
      <c r="N47" s="53">
        <v>20</v>
      </c>
      <c r="O47" s="53">
        <f>25-20</f>
        <v>5</v>
      </c>
      <c r="P47" s="52"/>
      <c r="Q47" s="53"/>
      <c r="R47" s="52"/>
      <c r="S47" s="52"/>
      <c r="T47" s="52"/>
      <c r="U47" s="52">
        <v>60</v>
      </c>
    </row>
    <row r="48" spans="1:25" ht="15" thickBot="1">
      <c r="A48" s="42"/>
      <c r="B48" s="42"/>
      <c r="C48" s="42"/>
      <c r="D48" s="70"/>
      <c r="E48" s="150" t="s">
        <v>63</v>
      </c>
      <c r="F48" s="150"/>
      <c r="G48" s="150"/>
      <c r="H48" s="150"/>
      <c r="I48" s="71">
        <f>SUM(I42:I47)</f>
        <v>10128</v>
      </c>
      <c r="J48" s="68">
        <f t="shared" ref="J48:U48" si="5">SUM(J42:J47)</f>
        <v>0</v>
      </c>
      <c r="K48" s="68">
        <f t="shared" si="5"/>
        <v>1814</v>
      </c>
      <c r="L48" s="68">
        <f t="shared" si="5"/>
        <v>707</v>
      </c>
      <c r="M48" s="71">
        <f t="shared" si="5"/>
        <v>1005</v>
      </c>
      <c r="N48" s="71">
        <f t="shared" si="5"/>
        <v>1510</v>
      </c>
      <c r="O48" s="71">
        <f t="shared" si="5"/>
        <v>1292</v>
      </c>
      <c r="P48" s="68">
        <f t="shared" si="5"/>
        <v>0</v>
      </c>
      <c r="Q48" s="71">
        <f t="shared" si="5"/>
        <v>260</v>
      </c>
      <c r="R48" s="68">
        <f t="shared" si="5"/>
        <v>0</v>
      </c>
      <c r="S48" s="71">
        <f t="shared" si="5"/>
        <v>0</v>
      </c>
      <c r="T48" s="68">
        <f t="shared" si="5"/>
        <v>0</v>
      </c>
      <c r="U48" s="71">
        <f t="shared" si="5"/>
        <v>3540</v>
      </c>
      <c r="Y48" s="141"/>
    </row>
    <row r="49" spans="1:21" ht="15" thickBot="1">
      <c r="A49" s="132"/>
      <c r="B49" s="133"/>
      <c r="C49" s="133"/>
      <c r="D49" s="134"/>
      <c r="E49" s="209" t="s">
        <v>64</v>
      </c>
      <c r="F49" s="209"/>
      <c r="G49" s="209"/>
      <c r="H49" s="209"/>
      <c r="I49" s="135">
        <f>I39+I48</f>
        <v>71149</v>
      </c>
      <c r="J49" s="135">
        <f t="shared" ref="J49:U49" si="6">J39+J48</f>
        <v>4721</v>
      </c>
      <c r="K49" s="135">
        <f t="shared" si="6"/>
        <v>6737</v>
      </c>
      <c r="L49" s="135">
        <f t="shared" si="6"/>
        <v>6090</v>
      </c>
      <c r="M49" s="135">
        <f t="shared" si="6"/>
        <v>4167</v>
      </c>
      <c r="N49" s="135">
        <f t="shared" si="6"/>
        <v>5643</v>
      </c>
      <c r="O49" s="135">
        <f t="shared" si="6"/>
        <v>7192</v>
      </c>
      <c r="P49" s="135">
        <f t="shared" si="6"/>
        <v>3536</v>
      </c>
      <c r="Q49" s="143">
        <f t="shared" si="6"/>
        <v>2260</v>
      </c>
      <c r="R49" s="135">
        <f t="shared" si="6"/>
        <v>11124</v>
      </c>
      <c r="S49" s="135">
        <f t="shared" si="6"/>
        <v>5432</v>
      </c>
      <c r="T49" s="135">
        <f t="shared" si="6"/>
        <v>5553</v>
      </c>
      <c r="U49" s="135">
        <f t="shared" si="6"/>
        <v>8694</v>
      </c>
    </row>
    <row r="50" spans="1:21">
      <c r="A50" s="33"/>
      <c r="B50" s="33"/>
      <c r="C50" s="33"/>
      <c r="D50" s="72"/>
      <c r="E50" s="73"/>
      <c r="F50" s="73"/>
      <c r="G50" s="73"/>
      <c r="H50" s="73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6"/>
    </row>
    <row r="51" spans="1:21">
      <c r="A51" s="3" t="s">
        <v>93</v>
      </c>
      <c r="B51" s="3"/>
      <c r="C51" s="3"/>
      <c r="D51" s="3"/>
      <c r="E51" s="3"/>
      <c r="F51" s="3"/>
      <c r="G51" s="3"/>
      <c r="H51" s="3"/>
      <c r="I51" s="3"/>
      <c r="J51" s="27"/>
      <c r="K51" s="27"/>
      <c r="L51" s="27"/>
      <c r="M51" s="3"/>
      <c r="N51" s="27" t="s">
        <v>66</v>
      </c>
      <c r="O51" s="27"/>
      <c r="P51" s="27"/>
      <c r="Q51" s="25"/>
      <c r="R51" s="3"/>
      <c r="S51" s="3"/>
      <c r="T51" s="3"/>
      <c r="U51" s="3"/>
    </row>
    <row r="52" spans="1:21">
      <c r="A52" s="3" t="s">
        <v>67</v>
      </c>
      <c r="B52" s="3"/>
      <c r="C52" s="3"/>
      <c r="D52" s="3"/>
      <c r="E52" s="3"/>
      <c r="F52" s="3"/>
      <c r="G52" s="3"/>
      <c r="H52" s="3"/>
      <c r="I52" s="3"/>
      <c r="J52" s="210" t="s">
        <v>68</v>
      </c>
      <c r="K52" s="210"/>
      <c r="L52" s="210"/>
      <c r="M52" s="3"/>
      <c r="N52" s="25" t="s">
        <v>69</v>
      </c>
      <c r="O52" s="25"/>
      <c r="P52" s="25"/>
      <c r="Q52" s="25"/>
      <c r="R52" s="25"/>
      <c r="S52" s="3"/>
      <c r="T52" s="3"/>
      <c r="U52" s="3"/>
    </row>
    <row r="53" spans="1:21">
      <c r="A53" s="3" t="s">
        <v>70</v>
      </c>
      <c r="B53" s="3"/>
      <c r="C53" s="3"/>
      <c r="D53" s="3"/>
      <c r="E53" s="3"/>
      <c r="F53" s="3"/>
      <c r="G53" s="3"/>
      <c r="H53" s="3"/>
      <c r="I53" s="3"/>
      <c r="J53" s="27"/>
      <c r="K53" s="27"/>
      <c r="L53" s="27"/>
      <c r="M53" s="3"/>
      <c r="N53" s="27" t="s">
        <v>71</v>
      </c>
      <c r="O53" s="27"/>
      <c r="P53" s="27"/>
      <c r="Q53" s="25"/>
      <c r="R53" s="3"/>
      <c r="S53" s="3"/>
      <c r="T53" s="3"/>
      <c r="U53" s="3"/>
    </row>
    <row r="54" spans="1:21">
      <c r="A54" s="3" t="s">
        <v>72</v>
      </c>
      <c r="B54" s="3"/>
      <c r="C54" s="3"/>
      <c r="D54" s="3"/>
      <c r="E54" s="3"/>
      <c r="F54" s="3"/>
      <c r="G54" s="3"/>
      <c r="H54" s="3"/>
      <c r="I54" s="3"/>
      <c r="J54" s="210" t="s">
        <v>68</v>
      </c>
      <c r="K54" s="210"/>
      <c r="L54" s="210"/>
      <c r="M54" s="3"/>
      <c r="N54" s="25" t="s">
        <v>69</v>
      </c>
      <c r="O54" s="25"/>
      <c r="P54" s="25"/>
      <c r="Q54" s="25"/>
      <c r="R54" s="3"/>
      <c r="S54" s="3"/>
      <c r="T54" s="3"/>
      <c r="U54" s="3"/>
    </row>
  </sheetData>
  <mergeCells count="78">
    <mergeCell ref="E49:H49"/>
    <mergeCell ref="J52:L52"/>
    <mergeCell ref="J54:L54"/>
    <mergeCell ref="T40:T41"/>
    <mergeCell ref="U40:U41"/>
    <mergeCell ref="E42:H42"/>
    <mergeCell ref="E43:H43"/>
    <mergeCell ref="E44:H44"/>
    <mergeCell ref="E45:H45"/>
    <mergeCell ref="E46:H46"/>
    <mergeCell ref="E47:H47"/>
    <mergeCell ref="E48:H48"/>
    <mergeCell ref="K40:K41"/>
    <mergeCell ref="L40:L41"/>
    <mergeCell ref="M40:M41"/>
    <mergeCell ref="N40:N41"/>
    <mergeCell ref="O40:O41"/>
    <mergeCell ref="P40:P41"/>
    <mergeCell ref="Q40:Q41"/>
    <mergeCell ref="R40:R41"/>
    <mergeCell ref="S40:S41"/>
    <mergeCell ref="E28:H28"/>
    <mergeCell ref="E29:H29"/>
    <mergeCell ref="E31:H31"/>
    <mergeCell ref="E32:H32"/>
    <mergeCell ref="E36:H36"/>
    <mergeCell ref="E38:H38"/>
    <mergeCell ref="E39:H39"/>
    <mergeCell ref="I40:I41"/>
    <mergeCell ref="J40:J41"/>
    <mergeCell ref="R21:R22"/>
    <mergeCell ref="S21:S22"/>
    <mergeCell ref="T21:T22"/>
    <mergeCell ref="U21:U22"/>
    <mergeCell ref="E23:H23"/>
    <mergeCell ref="E24:H24"/>
    <mergeCell ref="E25:H25"/>
    <mergeCell ref="E26:H26"/>
    <mergeCell ref="E27:H27"/>
    <mergeCell ref="I21:I22"/>
    <mergeCell ref="J21:J22"/>
    <mergeCell ref="K21:K22"/>
    <mergeCell ref="L21:L22"/>
    <mergeCell ref="M21:M22"/>
    <mergeCell ref="N21:N22"/>
    <mergeCell ref="O21:O22"/>
    <mergeCell ref="P21:P22"/>
    <mergeCell ref="Q21:Q22"/>
    <mergeCell ref="P10:R10"/>
    <mergeCell ref="N16:Q16"/>
    <mergeCell ref="A17:A20"/>
    <mergeCell ref="B17:B20"/>
    <mergeCell ref="C17:C20"/>
    <mergeCell ref="D17:D20"/>
    <mergeCell ref="I17:I20"/>
    <mergeCell ref="J17:U17"/>
    <mergeCell ref="J18:J20"/>
    <mergeCell ref="K18:K20"/>
    <mergeCell ref="L18:L20"/>
    <mergeCell ref="M18:M20"/>
    <mergeCell ref="N18:N20"/>
    <mergeCell ref="O18:O20"/>
    <mergeCell ref="P18:P20"/>
    <mergeCell ref="Q18:Q20"/>
    <mergeCell ref="R18:R20"/>
    <mergeCell ref="S18:S20"/>
    <mergeCell ref="T18:T20"/>
    <mergeCell ref="U18:U20"/>
    <mergeCell ref="L2:U2"/>
    <mergeCell ref="S3:U3"/>
    <mergeCell ref="L4:U4"/>
    <mergeCell ref="L5:U5"/>
    <mergeCell ref="L6:U6"/>
    <mergeCell ref="L7:U7"/>
    <mergeCell ref="P8:R8"/>
    <mergeCell ref="S8:U8"/>
    <mergeCell ref="P9:R9"/>
    <mergeCell ref="S9:T9"/>
  </mergeCells>
  <pageMargins left="0.9055118110236221" right="0" top="0.15748031496062992" bottom="0" header="0.31496062992125984" footer="0.31496062992125984"/>
  <pageSetup paperSize="9" scale="60" orientation="landscape" horizontalDpi="180" verticalDpi="180" r:id="rId1"/>
  <colBreaks count="1" manualBreakCount="1">
    <brk id="2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5"/>
  <sheetViews>
    <sheetView topLeftCell="A34" workbookViewId="0">
      <selection activeCell="S44" sqref="S44:S49"/>
    </sheetView>
  </sheetViews>
  <sheetFormatPr defaultRowHeight="14.4"/>
  <cols>
    <col min="1" max="1" width="11.59765625" customWidth="1"/>
    <col min="2" max="2" width="12.59765625" customWidth="1"/>
    <col min="19" max="19" width="11.296875" customWidth="1"/>
    <col min="20" max="20" width="12.796875" customWidth="1"/>
  </cols>
  <sheetData>
    <row r="1" spans="1:19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 t="s">
        <v>0</v>
      </c>
      <c r="R1" s="2"/>
      <c r="S1" s="2"/>
    </row>
    <row r="2" spans="1:19">
      <c r="A2" s="3"/>
      <c r="B2" s="3"/>
      <c r="C2" s="3"/>
      <c r="D2" s="3"/>
      <c r="E2" s="3"/>
      <c r="F2" s="3"/>
      <c r="G2" s="3"/>
      <c r="H2" s="3"/>
      <c r="I2" s="3"/>
      <c r="J2" s="205" t="s">
        <v>1</v>
      </c>
      <c r="K2" s="205"/>
      <c r="L2" s="205"/>
      <c r="M2" s="205"/>
      <c r="N2" s="205"/>
      <c r="O2" s="205"/>
      <c r="P2" s="205"/>
      <c r="Q2" s="205"/>
      <c r="R2" s="205"/>
      <c r="S2" s="205"/>
    </row>
    <row r="3" spans="1:19">
      <c r="A3" s="3"/>
      <c r="B3" s="3"/>
      <c r="C3" s="3"/>
      <c r="D3" s="3"/>
      <c r="I3" s="3"/>
      <c r="J3" s="4"/>
      <c r="K3" s="4"/>
      <c r="L3" s="4"/>
      <c r="M3" s="4"/>
      <c r="N3" s="4"/>
      <c r="O3" s="4"/>
      <c r="P3" s="4"/>
      <c r="Q3" s="208" t="s">
        <v>2</v>
      </c>
      <c r="R3" s="208"/>
      <c r="S3" s="208"/>
    </row>
    <row r="4" spans="1:19">
      <c r="A4" s="3"/>
      <c r="B4" s="3"/>
      <c r="C4" s="3"/>
      <c r="D4" s="3"/>
      <c r="E4" s="3"/>
      <c r="F4" s="3"/>
      <c r="G4" s="3"/>
      <c r="H4" s="3"/>
      <c r="I4" s="3"/>
      <c r="J4" s="205" t="s">
        <v>3</v>
      </c>
      <c r="K4" s="205"/>
      <c r="L4" s="205"/>
      <c r="M4" s="205"/>
      <c r="N4" s="205"/>
      <c r="O4" s="205"/>
      <c r="P4" s="205"/>
      <c r="Q4" s="205"/>
      <c r="R4" s="205"/>
      <c r="S4" s="205"/>
    </row>
    <row r="5" spans="1:19">
      <c r="A5" s="3"/>
      <c r="B5" s="3"/>
      <c r="C5" s="3"/>
      <c r="D5" s="3"/>
      <c r="E5" s="3"/>
      <c r="F5" s="3"/>
      <c r="G5" s="3"/>
      <c r="H5" s="3"/>
      <c r="I5" s="3"/>
      <c r="J5" s="205" t="s">
        <v>4</v>
      </c>
      <c r="K5" s="205"/>
      <c r="L5" s="205"/>
      <c r="M5" s="205"/>
      <c r="N5" s="205"/>
      <c r="O5" s="205"/>
      <c r="P5" s="205"/>
      <c r="Q5" s="205"/>
      <c r="R5" s="205"/>
      <c r="S5" s="205"/>
    </row>
    <row r="6" spans="1:19">
      <c r="A6" s="3"/>
      <c r="B6" s="3"/>
      <c r="C6" s="3"/>
      <c r="D6" s="3"/>
      <c r="E6" s="3"/>
      <c r="F6" s="3"/>
      <c r="G6" s="3"/>
      <c r="H6" s="3"/>
      <c r="I6" s="3"/>
      <c r="J6" s="205" t="s">
        <v>83</v>
      </c>
      <c r="K6" s="205"/>
      <c r="L6" s="205"/>
      <c r="M6" s="205"/>
      <c r="N6" s="205"/>
      <c r="O6" s="205"/>
      <c r="P6" s="205"/>
      <c r="Q6" s="205"/>
      <c r="R6" s="205"/>
      <c r="S6" s="205"/>
    </row>
    <row r="7" spans="1:19">
      <c r="A7" s="3"/>
      <c r="B7" s="3"/>
      <c r="C7" s="3"/>
      <c r="D7" s="3"/>
      <c r="E7" s="3"/>
      <c r="F7" s="3"/>
      <c r="G7" s="3"/>
      <c r="H7" s="3"/>
      <c r="I7" s="3"/>
      <c r="J7" s="205" t="s">
        <v>6</v>
      </c>
      <c r="K7" s="205"/>
      <c r="L7" s="205"/>
      <c r="M7" s="205"/>
      <c r="N7" s="205"/>
      <c r="O7" s="205"/>
      <c r="P7" s="205"/>
      <c r="Q7" s="205"/>
      <c r="R7" s="205"/>
      <c r="S7" s="205"/>
    </row>
    <row r="8" spans="1:19">
      <c r="A8" s="3"/>
      <c r="B8" s="3"/>
      <c r="C8" s="3"/>
      <c r="D8" s="3"/>
      <c r="E8" s="3"/>
      <c r="F8" s="3"/>
      <c r="G8" s="3"/>
      <c r="H8" s="3"/>
      <c r="I8" s="3"/>
      <c r="J8" s="5"/>
      <c r="K8" s="5"/>
      <c r="L8" s="5"/>
      <c r="M8" s="5"/>
      <c r="N8" s="206"/>
      <c r="O8" s="206"/>
      <c r="P8" s="206"/>
      <c r="Q8" s="207" t="s">
        <v>85</v>
      </c>
      <c r="R8" s="207"/>
      <c r="S8" s="207"/>
    </row>
    <row r="9" spans="1:19">
      <c r="A9" s="3"/>
      <c r="B9" s="3"/>
      <c r="C9" s="3"/>
      <c r="D9" s="3"/>
      <c r="E9" s="3"/>
      <c r="F9" s="3"/>
      <c r="G9" s="3"/>
      <c r="H9" s="3"/>
      <c r="I9" s="3"/>
      <c r="J9" s="5"/>
      <c r="K9" s="5"/>
      <c r="L9" s="5"/>
      <c r="M9" s="5"/>
      <c r="N9" s="177" t="s">
        <v>8</v>
      </c>
      <c r="O9" s="177"/>
      <c r="P9" s="177"/>
      <c r="Q9" s="178" t="s">
        <v>9</v>
      </c>
      <c r="R9" s="178"/>
      <c r="S9" s="5"/>
    </row>
    <row r="10" spans="1:19">
      <c r="A10" s="3"/>
      <c r="B10" s="3"/>
      <c r="C10" s="3"/>
      <c r="D10" s="3"/>
      <c r="E10" s="3"/>
      <c r="F10" s="3"/>
      <c r="G10" s="3"/>
      <c r="H10" s="3"/>
      <c r="I10" s="3"/>
      <c r="J10" s="5"/>
      <c r="K10" s="5"/>
      <c r="L10" s="5"/>
      <c r="M10" s="5"/>
      <c r="N10" s="213" t="s">
        <v>82</v>
      </c>
      <c r="O10" s="213"/>
      <c r="P10" s="213"/>
      <c r="Q10" s="6"/>
      <c r="R10" s="6"/>
      <c r="S10" s="6"/>
    </row>
    <row r="11" spans="1:19">
      <c r="A11" s="8"/>
      <c r="B11" s="8"/>
      <c r="C11" s="8" t="s">
        <v>10</v>
      </c>
      <c r="D11" s="8"/>
      <c r="E11" s="9"/>
      <c r="F11" s="7"/>
      <c r="G11" s="7"/>
      <c r="H11" s="7"/>
      <c r="I11" s="7"/>
      <c r="J11" s="7"/>
      <c r="K11" s="7"/>
      <c r="L11" s="7"/>
      <c r="M11" s="7"/>
      <c r="N11" s="10" t="s">
        <v>11</v>
      </c>
      <c r="O11" s="10"/>
      <c r="P11" s="10"/>
      <c r="Q11" s="7"/>
      <c r="R11" s="7"/>
      <c r="S11" s="7"/>
    </row>
    <row r="12" spans="1:19">
      <c r="A12" s="11"/>
      <c r="B12" s="12" t="s">
        <v>13</v>
      </c>
      <c r="C12" s="11" t="s">
        <v>14</v>
      </c>
      <c r="D12" s="13"/>
      <c r="E12" s="13"/>
      <c r="F12" s="13"/>
      <c r="G12" s="13"/>
      <c r="H12" s="13"/>
      <c r="I12" s="13"/>
      <c r="J12" s="13"/>
      <c r="K12" s="13"/>
      <c r="L12" s="14"/>
      <c r="M12" s="14"/>
      <c r="N12" s="14"/>
      <c r="O12" s="13"/>
      <c r="P12" s="13"/>
      <c r="Q12" s="13"/>
      <c r="R12" s="13"/>
      <c r="S12" s="13"/>
    </row>
    <row r="13" spans="1:19">
      <c r="A13" s="15"/>
      <c r="B13" s="15"/>
      <c r="C13" s="16" t="s">
        <v>73</v>
      </c>
      <c r="D13" s="13"/>
      <c r="E13" s="13"/>
      <c r="F13" s="13"/>
      <c r="G13" s="13"/>
      <c r="H13" s="13"/>
      <c r="I13" s="13"/>
      <c r="J13" s="13"/>
      <c r="K13" s="13"/>
      <c r="L13" s="14"/>
      <c r="M13" s="14"/>
      <c r="N13" s="14"/>
      <c r="O13" s="13"/>
      <c r="P13" s="13"/>
      <c r="Q13" s="13"/>
      <c r="R13" s="13"/>
      <c r="S13" s="13"/>
    </row>
    <row r="14" spans="1:19">
      <c r="A14" s="11"/>
      <c r="B14" s="11"/>
      <c r="C14" s="11" t="s">
        <v>17</v>
      </c>
      <c r="D14" s="17"/>
      <c r="E14" s="17"/>
      <c r="F14" s="17"/>
      <c r="G14" s="17"/>
      <c r="H14" s="17"/>
      <c r="I14" s="13"/>
      <c r="J14" s="13"/>
      <c r="K14" s="13"/>
      <c r="L14" s="14"/>
      <c r="M14" s="14"/>
      <c r="N14" s="14"/>
      <c r="O14" s="13"/>
      <c r="P14" s="13"/>
      <c r="Q14" s="13"/>
      <c r="R14" s="13"/>
      <c r="S14" s="13"/>
    </row>
    <row r="15" spans="1:19">
      <c r="A15" s="11"/>
      <c r="B15" s="11"/>
      <c r="C15" s="11"/>
      <c r="D15" s="18" t="s">
        <v>19</v>
      </c>
      <c r="E15" s="18"/>
      <c r="F15" s="14"/>
      <c r="G15" s="19"/>
      <c r="H15" s="14"/>
      <c r="I15" s="17"/>
      <c r="J15" s="17"/>
      <c r="K15" s="13"/>
      <c r="L15" s="14"/>
      <c r="M15" s="14"/>
      <c r="N15" s="114"/>
      <c r="O15" s="20"/>
      <c r="P15" s="13"/>
      <c r="Q15" s="13"/>
      <c r="R15" s="13"/>
      <c r="S15" s="13"/>
    </row>
    <row r="16" spans="1:19" ht="15" thickBot="1">
      <c r="A16" s="21"/>
      <c r="B16" s="21"/>
      <c r="C16" s="21"/>
      <c r="D16" s="22" t="s">
        <v>21</v>
      </c>
      <c r="E16" s="22"/>
      <c r="F16" s="14"/>
      <c r="G16" s="19"/>
      <c r="H16" s="14"/>
      <c r="I16" s="14"/>
      <c r="J16" s="14"/>
      <c r="K16" s="19"/>
      <c r="L16" s="180"/>
      <c r="M16" s="180"/>
      <c r="N16" s="180"/>
      <c r="O16" s="180"/>
      <c r="P16" s="13"/>
      <c r="Q16" s="13"/>
      <c r="R16" s="13"/>
      <c r="S16" s="13"/>
    </row>
    <row r="17" spans="1:20" ht="14.4" customHeight="1">
      <c r="A17" s="184" t="s">
        <v>24</v>
      </c>
      <c r="B17" s="187" t="s">
        <v>25</v>
      </c>
      <c r="C17" s="23"/>
      <c r="D17" s="23"/>
      <c r="E17" s="23"/>
      <c r="F17" s="24"/>
      <c r="G17" s="190" t="s">
        <v>74</v>
      </c>
      <c r="H17" s="193" t="s">
        <v>26</v>
      </c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5"/>
      <c r="T17" s="214"/>
    </row>
    <row r="18" spans="1:20">
      <c r="A18" s="185"/>
      <c r="B18" s="188"/>
      <c r="C18" s="25"/>
      <c r="D18" s="25" t="s">
        <v>27</v>
      </c>
      <c r="E18" s="25"/>
      <c r="F18" s="26"/>
      <c r="G18" s="191"/>
      <c r="H18" s="196" t="s">
        <v>28</v>
      </c>
      <c r="I18" s="196" t="s">
        <v>29</v>
      </c>
      <c r="J18" s="199" t="s">
        <v>30</v>
      </c>
      <c r="K18" s="196" t="s">
        <v>31</v>
      </c>
      <c r="L18" s="199" t="s">
        <v>32</v>
      </c>
      <c r="M18" s="196" t="s">
        <v>33</v>
      </c>
      <c r="N18" s="196" t="s">
        <v>34</v>
      </c>
      <c r="O18" s="196" t="s">
        <v>35</v>
      </c>
      <c r="P18" s="196" t="s">
        <v>36</v>
      </c>
      <c r="Q18" s="196" t="s">
        <v>37</v>
      </c>
      <c r="R18" s="196" t="s">
        <v>38</v>
      </c>
      <c r="S18" s="202" t="s">
        <v>39</v>
      </c>
      <c r="T18" s="214"/>
    </row>
    <row r="19" spans="1:20">
      <c r="A19" s="185"/>
      <c r="B19" s="188"/>
      <c r="C19" s="25"/>
      <c r="D19" s="25"/>
      <c r="E19" s="25"/>
      <c r="F19" s="26"/>
      <c r="G19" s="191"/>
      <c r="H19" s="197"/>
      <c r="I19" s="197"/>
      <c r="J19" s="200"/>
      <c r="K19" s="197"/>
      <c r="L19" s="200"/>
      <c r="M19" s="197"/>
      <c r="N19" s="197"/>
      <c r="O19" s="197"/>
      <c r="P19" s="197"/>
      <c r="Q19" s="197"/>
      <c r="R19" s="197"/>
      <c r="S19" s="203"/>
      <c r="T19" s="214"/>
    </row>
    <row r="20" spans="1:20">
      <c r="A20" s="186"/>
      <c r="B20" s="189"/>
      <c r="C20" s="27"/>
      <c r="D20" s="27"/>
      <c r="E20" s="27"/>
      <c r="F20" s="28"/>
      <c r="G20" s="192"/>
      <c r="H20" s="198"/>
      <c r="I20" s="198"/>
      <c r="J20" s="201"/>
      <c r="K20" s="198"/>
      <c r="L20" s="201"/>
      <c r="M20" s="198"/>
      <c r="N20" s="198"/>
      <c r="O20" s="198"/>
      <c r="P20" s="198"/>
      <c r="Q20" s="198"/>
      <c r="R20" s="198"/>
      <c r="S20" s="204"/>
      <c r="T20" s="214"/>
    </row>
    <row r="21" spans="1:20">
      <c r="A21" s="31" t="s">
        <v>42</v>
      </c>
      <c r="B21" s="32"/>
      <c r="C21" s="33" t="s">
        <v>43</v>
      </c>
      <c r="D21" s="33"/>
      <c r="E21" s="33"/>
      <c r="F21" s="34"/>
      <c r="G21" s="173">
        <f>SUM(H21:S22)</f>
        <v>42821</v>
      </c>
      <c r="H21" s="173">
        <f>SUM(H23:H39)</f>
        <v>3522</v>
      </c>
      <c r="I21" s="173">
        <f t="shared" ref="I21:S21" si="0">SUM(I23:I39)</f>
        <v>4576</v>
      </c>
      <c r="J21" s="176">
        <f t="shared" si="0"/>
        <v>2635</v>
      </c>
      <c r="K21" s="173">
        <f t="shared" si="0"/>
        <v>5854</v>
      </c>
      <c r="L21" s="176">
        <f t="shared" si="0"/>
        <v>2452.1</v>
      </c>
      <c r="M21" s="173">
        <f t="shared" si="0"/>
        <v>2917</v>
      </c>
      <c r="N21" s="173">
        <f t="shared" si="0"/>
        <v>10379.9</v>
      </c>
      <c r="O21" s="173">
        <f t="shared" si="0"/>
        <v>-421.5</v>
      </c>
      <c r="P21" s="173">
        <f t="shared" si="0"/>
        <v>133</v>
      </c>
      <c r="Q21" s="173">
        <f t="shared" si="0"/>
        <v>4076.4</v>
      </c>
      <c r="R21" s="173">
        <f t="shared" si="0"/>
        <v>3335.6</v>
      </c>
      <c r="S21" s="174">
        <f t="shared" si="0"/>
        <v>3361.5</v>
      </c>
      <c r="T21" s="214"/>
    </row>
    <row r="22" spans="1:20" ht="15" thickBot="1">
      <c r="A22" s="37"/>
      <c r="B22" s="38"/>
      <c r="C22" s="39" t="s">
        <v>44</v>
      </c>
      <c r="D22" s="39"/>
      <c r="E22" s="39"/>
      <c r="F22" s="40"/>
      <c r="G22" s="152"/>
      <c r="H22" s="152"/>
      <c r="I22" s="152"/>
      <c r="J22" s="154"/>
      <c r="K22" s="152"/>
      <c r="L22" s="154"/>
      <c r="M22" s="152"/>
      <c r="N22" s="152"/>
      <c r="O22" s="152"/>
      <c r="P22" s="152"/>
      <c r="Q22" s="152"/>
      <c r="R22" s="152"/>
      <c r="S22" s="175"/>
      <c r="T22" s="214"/>
    </row>
    <row r="23" spans="1:20" ht="15" thickBot="1">
      <c r="A23" s="41"/>
      <c r="B23" s="42">
        <v>111</v>
      </c>
      <c r="C23" s="155" t="s">
        <v>45</v>
      </c>
      <c r="D23" s="156"/>
      <c r="E23" s="156"/>
      <c r="F23" s="157"/>
      <c r="G23" s="71">
        <f>SUM(H23:S23)</f>
        <v>29476.799999999999</v>
      </c>
      <c r="H23" s="43">
        <v>3174</v>
      </c>
      <c r="I23" s="44">
        <f>3174-910</f>
        <v>2264</v>
      </c>
      <c r="J23" s="43">
        <v>2150</v>
      </c>
      <c r="K23" s="43">
        <v>2825</v>
      </c>
      <c r="L23" s="43">
        <v>1740</v>
      </c>
      <c r="M23" s="43">
        <f>7902-5417</f>
        <v>2485</v>
      </c>
      <c r="N23" s="44">
        <v>6769</v>
      </c>
      <c r="O23" s="44">
        <f>3893-3893</f>
        <v>0</v>
      </c>
      <c r="P23" s="116">
        <f>3199+2873.5-6072.5</f>
        <v>0</v>
      </c>
      <c r="Q23" s="116">
        <f>3198+6072.5-1159+1159-6170.5</f>
        <v>3100</v>
      </c>
      <c r="R23" s="44">
        <f>3199+6170.5-6919.5</f>
        <v>2450</v>
      </c>
      <c r="S23" s="44">
        <v>2519.8000000000002</v>
      </c>
    </row>
    <row r="24" spans="1:20">
      <c r="A24" s="41"/>
      <c r="B24" s="42">
        <v>112</v>
      </c>
      <c r="C24" s="155" t="s">
        <v>84</v>
      </c>
      <c r="D24" s="156"/>
      <c r="E24" s="156"/>
      <c r="F24" s="157"/>
      <c r="G24" s="71">
        <f>SUM(H24:S24)</f>
        <v>369</v>
      </c>
      <c r="H24" s="43"/>
      <c r="I24" s="44"/>
      <c r="J24" s="43"/>
      <c r="K24" s="43"/>
      <c r="L24" s="43"/>
      <c r="M24" s="43"/>
      <c r="N24" s="44"/>
      <c r="O24" s="44"/>
      <c r="P24" s="116"/>
      <c r="Q24" s="116"/>
      <c r="R24" s="44"/>
      <c r="S24" s="44">
        <v>369</v>
      </c>
    </row>
    <row r="25" spans="1:20">
      <c r="A25" s="41"/>
      <c r="B25" s="42">
        <v>113</v>
      </c>
      <c r="C25" s="158" t="s">
        <v>46</v>
      </c>
      <c r="D25" s="159"/>
      <c r="E25" s="159"/>
      <c r="F25" s="160"/>
      <c r="G25" s="71">
        <f>SUM(H25:S25)</f>
        <v>1639.5</v>
      </c>
      <c r="H25" s="45"/>
      <c r="I25" s="46"/>
      <c r="J25" s="46"/>
      <c r="K25" s="45">
        <v>1320</v>
      </c>
      <c r="L25" s="46">
        <v>100</v>
      </c>
      <c r="M25" s="46">
        <f>763-705</f>
        <v>58</v>
      </c>
      <c r="N25" s="46">
        <f>317+705</f>
        <v>1022</v>
      </c>
      <c r="O25" s="46">
        <f>120-980.5</f>
        <v>-860.5</v>
      </c>
      <c r="P25" s="117"/>
      <c r="Q25" s="46"/>
      <c r="R25" s="46"/>
      <c r="S25" s="46"/>
    </row>
    <row r="26" spans="1:20">
      <c r="A26" s="42"/>
      <c r="B26" s="42">
        <v>121</v>
      </c>
      <c r="C26" s="158" t="s">
        <v>47</v>
      </c>
      <c r="D26" s="159"/>
      <c r="E26" s="159"/>
      <c r="F26" s="160"/>
      <c r="G26" s="125">
        <f>SUM(H26:S26)</f>
        <v>1622.9</v>
      </c>
      <c r="H26" s="45">
        <v>172</v>
      </c>
      <c r="I26" s="46">
        <f>172-44</f>
        <v>128</v>
      </c>
      <c r="J26" s="45">
        <v>95</v>
      </c>
      <c r="K26" s="45">
        <v>148</v>
      </c>
      <c r="L26" s="45">
        <v>85</v>
      </c>
      <c r="M26" s="45">
        <f>465-336</f>
        <v>129</v>
      </c>
      <c r="N26" s="46">
        <f>110+336</f>
        <v>446</v>
      </c>
      <c r="O26" s="46">
        <f>172-172</f>
        <v>0</v>
      </c>
      <c r="P26" s="117">
        <f>172+172-300</f>
        <v>44</v>
      </c>
      <c r="Q26" s="46">
        <f>172+300-382</f>
        <v>90</v>
      </c>
      <c r="R26" s="46">
        <f>172+382-434</f>
        <v>120</v>
      </c>
      <c r="S26" s="46">
        <v>165.9</v>
      </c>
    </row>
    <row r="27" spans="1:20">
      <c r="A27" s="47"/>
      <c r="B27" s="47">
        <v>122</v>
      </c>
      <c r="C27" s="161" t="s">
        <v>48</v>
      </c>
      <c r="D27" s="162"/>
      <c r="E27" s="162"/>
      <c r="F27" s="163"/>
      <c r="G27" s="125"/>
      <c r="H27" s="48"/>
      <c r="I27" s="50"/>
      <c r="J27" s="50"/>
      <c r="K27" s="49"/>
      <c r="L27" s="50"/>
      <c r="M27" s="50"/>
      <c r="N27" s="50"/>
      <c r="O27" s="50"/>
      <c r="P27" s="118"/>
      <c r="Q27" s="50"/>
      <c r="R27" s="50"/>
      <c r="S27" s="50"/>
    </row>
    <row r="28" spans="1:20">
      <c r="A28" s="51"/>
      <c r="B28" s="51"/>
      <c r="C28" s="144" t="s">
        <v>49</v>
      </c>
      <c r="D28" s="145"/>
      <c r="E28" s="145"/>
      <c r="F28" s="146"/>
      <c r="G28" s="75">
        <f>SUM(H28:S28)</f>
        <v>917</v>
      </c>
      <c r="H28" s="45">
        <v>100</v>
      </c>
      <c r="I28" s="46">
        <f>100-22</f>
        <v>78</v>
      </c>
      <c r="J28" s="45">
        <v>61</v>
      </c>
      <c r="K28" s="45">
        <v>98</v>
      </c>
      <c r="L28" s="45">
        <v>51</v>
      </c>
      <c r="M28" s="45">
        <f>249-171</f>
        <v>78</v>
      </c>
      <c r="N28" s="46">
        <f>64+171</f>
        <v>235</v>
      </c>
      <c r="O28" s="46">
        <f>100-100</f>
        <v>0</v>
      </c>
      <c r="P28" s="117">
        <f>100+100-150</f>
        <v>50</v>
      </c>
      <c r="Q28" s="46">
        <f>100+150-202</f>
        <v>48</v>
      </c>
      <c r="R28" s="46">
        <f>100+202-267</f>
        <v>35</v>
      </c>
      <c r="S28" s="46">
        <v>83</v>
      </c>
    </row>
    <row r="29" spans="1:20">
      <c r="A29" s="42"/>
      <c r="B29" s="42">
        <v>123</v>
      </c>
      <c r="C29" s="161" t="s">
        <v>50</v>
      </c>
      <c r="D29" s="162"/>
      <c r="E29" s="162"/>
      <c r="F29" s="163"/>
      <c r="G29" s="125">
        <f>H29+I29+J29+K29+L29+M29+N29+O29+P29+Q29+R29+S29</f>
        <v>0</v>
      </c>
      <c r="H29" s="45"/>
      <c r="I29" s="46"/>
      <c r="J29" s="46"/>
      <c r="K29" s="45">
        <v>0</v>
      </c>
      <c r="L29" s="46">
        <v>0</v>
      </c>
      <c r="M29" s="46">
        <v>0</v>
      </c>
      <c r="N29" s="46">
        <v>18</v>
      </c>
      <c r="O29" s="46"/>
      <c r="P29" s="117">
        <v>-18</v>
      </c>
      <c r="Q29" s="46">
        <f>18-18</f>
        <v>0</v>
      </c>
      <c r="R29" s="46"/>
      <c r="S29" s="46"/>
    </row>
    <row r="30" spans="1:20">
      <c r="A30" s="51"/>
      <c r="B30" s="51">
        <v>124</v>
      </c>
      <c r="C30" s="147" t="s">
        <v>51</v>
      </c>
      <c r="D30" s="148"/>
      <c r="E30" s="148"/>
      <c r="F30" s="149"/>
      <c r="G30" s="71">
        <f>SUM(H30:S30)</f>
        <v>550.20000000000005</v>
      </c>
      <c r="H30" s="53">
        <v>63</v>
      </c>
      <c r="I30" s="53">
        <f>63-20</f>
        <v>43</v>
      </c>
      <c r="J30" s="53">
        <v>32</v>
      </c>
      <c r="K30" s="53">
        <v>75</v>
      </c>
      <c r="L30" s="53">
        <v>31</v>
      </c>
      <c r="M30" s="53">
        <f>158-106</f>
        <v>52</v>
      </c>
      <c r="N30" s="53">
        <f>40+106</f>
        <v>146</v>
      </c>
      <c r="O30" s="53">
        <f>63-63</f>
        <v>0</v>
      </c>
      <c r="P30" s="119">
        <f>63+63-100</f>
        <v>26</v>
      </c>
      <c r="Q30" s="53">
        <f>63+100-143</f>
        <v>20</v>
      </c>
      <c r="R30" s="53">
        <f>63+143-186</f>
        <v>20</v>
      </c>
      <c r="S30" s="53">
        <v>42.2</v>
      </c>
    </row>
    <row r="31" spans="1:20">
      <c r="A31" s="42"/>
      <c r="B31" s="42">
        <v>142</v>
      </c>
      <c r="C31" s="54" t="s">
        <v>52</v>
      </c>
      <c r="D31" s="54"/>
      <c r="E31" s="54"/>
      <c r="F31" s="54"/>
      <c r="G31" s="71">
        <f>H31+I31+J31+K31+L31+M31+N31+O31+P31+Q31+R31+S31</f>
        <v>252</v>
      </c>
      <c r="H31" s="45"/>
      <c r="I31" s="46">
        <v>80</v>
      </c>
      <c r="J31" s="46"/>
      <c r="K31" s="45"/>
      <c r="L31" s="46"/>
      <c r="M31" s="46"/>
      <c r="N31" s="46"/>
      <c r="O31" s="46">
        <v>0</v>
      </c>
      <c r="P31" s="117"/>
      <c r="Q31" s="46">
        <v>172</v>
      </c>
      <c r="R31" s="46"/>
      <c r="S31" s="46"/>
    </row>
    <row r="32" spans="1:20">
      <c r="A32" s="41"/>
      <c r="B32" s="41">
        <v>143</v>
      </c>
      <c r="C32" s="164" t="s">
        <v>53</v>
      </c>
      <c r="D32" s="165"/>
      <c r="E32" s="165"/>
      <c r="F32" s="166"/>
      <c r="G32" s="75">
        <f>SUM(H32:S32)</f>
        <v>0</v>
      </c>
      <c r="H32" s="55"/>
      <c r="I32" s="44"/>
      <c r="J32" s="44"/>
      <c r="K32" s="43"/>
      <c r="L32" s="44"/>
      <c r="M32" s="44"/>
      <c r="N32" s="44"/>
      <c r="O32" s="44"/>
      <c r="P32" s="116"/>
      <c r="Q32" s="44"/>
      <c r="R32" s="44"/>
      <c r="S32" s="44"/>
    </row>
    <row r="33" spans="1:19">
      <c r="A33" s="41"/>
      <c r="B33" s="41">
        <v>144</v>
      </c>
      <c r="C33" s="164" t="s">
        <v>54</v>
      </c>
      <c r="D33" s="165"/>
      <c r="E33" s="165"/>
      <c r="F33" s="166"/>
      <c r="G33" s="75">
        <f t="shared" ref="G33:G40" si="1">SUM(H33:S33)</f>
        <v>249.9</v>
      </c>
      <c r="H33" s="55"/>
      <c r="I33" s="44">
        <v>250</v>
      </c>
      <c r="J33" s="44"/>
      <c r="K33" s="43">
        <v>-0.1</v>
      </c>
      <c r="L33" s="44"/>
      <c r="M33" s="44"/>
      <c r="N33" s="44"/>
      <c r="O33" s="44"/>
      <c r="P33" s="116"/>
      <c r="Q33" s="44"/>
      <c r="R33" s="44"/>
      <c r="S33" s="44"/>
    </row>
    <row r="34" spans="1:19">
      <c r="A34" s="80"/>
      <c r="B34" s="80">
        <v>149</v>
      </c>
      <c r="C34" s="81" t="s">
        <v>55</v>
      </c>
      <c r="D34" s="81"/>
      <c r="E34" s="81"/>
      <c r="F34" s="81"/>
      <c r="G34" s="71">
        <f t="shared" si="1"/>
        <v>1706.6</v>
      </c>
      <c r="H34" s="46"/>
      <c r="I34" s="46">
        <v>200</v>
      </c>
      <c r="J34" s="46">
        <v>100</v>
      </c>
      <c r="K34" s="46">
        <v>350</v>
      </c>
      <c r="L34" s="46">
        <v>150</v>
      </c>
      <c r="M34" s="46">
        <f>998.9-928.9</f>
        <v>70</v>
      </c>
      <c r="N34" s="46">
        <f>883.9-31</f>
        <v>852.9</v>
      </c>
      <c r="O34" s="46">
        <v>-720</v>
      </c>
      <c r="P34" s="117">
        <f>689-689</f>
        <v>0</v>
      </c>
      <c r="Q34" s="46">
        <f>689-31-158</f>
        <v>500</v>
      </c>
      <c r="R34" s="46">
        <f>158+30.6</f>
        <v>188.6</v>
      </c>
      <c r="S34" s="46">
        <v>15.1</v>
      </c>
    </row>
    <row r="35" spans="1:19">
      <c r="A35" s="80"/>
      <c r="B35" s="80">
        <v>151</v>
      </c>
      <c r="C35" s="81" t="s">
        <v>56</v>
      </c>
      <c r="D35" s="81"/>
      <c r="E35" s="81"/>
      <c r="F35" s="81"/>
      <c r="G35" s="71">
        <f t="shared" si="1"/>
        <v>3526.5</v>
      </c>
      <c r="H35" s="46"/>
      <c r="I35" s="46">
        <v>1300</v>
      </c>
      <c r="J35" s="46">
        <v>100</v>
      </c>
      <c r="K35" s="46">
        <v>250</v>
      </c>
      <c r="L35" s="46">
        <v>225</v>
      </c>
      <c r="M35" s="46">
        <f>675-675</f>
        <v>0</v>
      </c>
      <c r="N35" s="46">
        <f>150+675</f>
        <v>825</v>
      </c>
      <c r="O35" s="46">
        <f>130-130</f>
        <v>0</v>
      </c>
      <c r="P35" s="117">
        <f>150+130-280</f>
        <v>0</v>
      </c>
      <c r="Q35" s="46">
        <f>400+280-430</f>
        <v>250</v>
      </c>
      <c r="R35" s="46">
        <f>520+430-450</f>
        <v>500</v>
      </c>
      <c r="S35" s="46">
        <v>76.5</v>
      </c>
    </row>
    <row r="36" spans="1:19">
      <c r="A36" s="80"/>
      <c r="B36" s="80">
        <v>152</v>
      </c>
      <c r="C36" s="83" t="s">
        <v>57</v>
      </c>
      <c r="D36" s="81"/>
      <c r="E36" s="81"/>
      <c r="F36" s="84"/>
      <c r="G36" s="71">
        <f t="shared" si="1"/>
        <v>363.7</v>
      </c>
      <c r="H36" s="46"/>
      <c r="I36" s="46">
        <f>12+50</f>
        <v>62</v>
      </c>
      <c r="J36" s="46">
        <v>31</v>
      </c>
      <c r="K36" s="46">
        <v>33.1</v>
      </c>
      <c r="L36" s="46">
        <v>29.6</v>
      </c>
      <c r="M36" s="46">
        <v>30</v>
      </c>
      <c r="N36" s="46">
        <v>31</v>
      </c>
      <c r="O36" s="46">
        <v>31</v>
      </c>
      <c r="P36" s="117">
        <v>31</v>
      </c>
      <c r="Q36" s="46">
        <v>63</v>
      </c>
      <c r="R36" s="46">
        <v>22</v>
      </c>
      <c r="S36" s="46">
        <v>0</v>
      </c>
    </row>
    <row r="37" spans="1:19">
      <c r="A37" s="80"/>
      <c r="B37" s="80">
        <v>159</v>
      </c>
      <c r="C37" s="167" t="s">
        <v>58</v>
      </c>
      <c r="D37" s="168"/>
      <c r="E37" s="168"/>
      <c r="F37" s="169"/>
      <c r="G37" s="71">
        <f t="shared" si="1"/>
        <v>2037.5</v>
      </c>
      <c r="H37" s="46">
        <v>13</v>
      </c>
      <c r="I37" s="46">
        <f>12+59</f>
        <v>71</v>
      </c>
      <c r="J37" s="46">
        <v>66</v>
      </c>
      <c r="K37" s="46">
        <v>755</v>
      </c>
      <c r="L37" s="46">
        <v>40.5</v>
      </c>
      <c r="M37" s="46">
        <v>15</v>
      </c>
      <c r="N37" s="46">
        <v>0</v>
      </c>
      <c r="O37" s="46">
        <f>987+172</f>
        <v>1159</v>
      </c>
      <c r="P37" s="117">
        <v>0</v>
      </c>
      <c r="Q37" s="46">
        <v>-172</v>
      </c>
      <c r="R37" s="46">
        <v>0</v>
      </c>
      <c r="S37" s="46">
        <v>90</v>
      </c>
    </row>
    <row r="38" spans="1:19">
      <c r="A38" s="42"/>
      <c r="B38" s="42">
        <v>161</v>
      </c>
      <c r="C38" s="121" t="s">
        <v>59</v>
      </c>
      <c r="D38" s="122"/>
      <c r="E38" s="122"/>
      <c r="F38" s="123"/>
      <c r="G38" s="71">
        <f t="shared" si="1"/>
        <v>95.4</v>
      </c>
      <c r="H38" s="45"/>
      <c r="I38" s="46">
        <v>90</v>
      </c>
      <c r="J38" s="46"/>
      <c r="K38" s="45"/>
      <c r="L38" s="46"/>
      <c r="M38" s="46"/>
      <c r="N38" s="46"/>
      <c r="O38" s="46"/>
      <c r="P38" s="117"/>
      <c r="Q38" s="46">
        <v>5.4</v>
      </c>
      <c r="R38" s="46"/>
      <c r="S38" s="46"/>
    </row>
    <row r="39" spans="1:19">
      <c r="A39" s="42"/>
      <c r="B39" s="42">
        <v>169</v>
      </c>
      <c r="C39" s="158" t="s">
        <v>60</v>
      </c>
      <c r="D39" s="159"/>
      <c r="E39" s="159"/>
      <c r="F39" s="160"/>
      <c r="G39" s="71">
        <f t="shared" si="1"/>
        <v>14</v>
      </c>
      <c r="H39" s="45"/>
      <c r="I39" s="46">
        <v>10</v>
      </c>
      <c r="J39" s="46"/>
      <c r="K39" s="45">
        <v>0</v>
      </c>
      <c r="L39" s="46">
        <v>0</v>
      </c>
      <c r="M39" s="46">
        <f>35-35</f>
        <v>0</v>
      </c>
      <c r="N39" s="46">
        <v>35</v>
      </c>
      <c r="O39" s="46">
        <f>50-81</f>
        <v>-31</v>
      </c>
      <c r="P39" s="117">
        <f>81-81</f>
        <v>0</v>
      </c>
      <c r="Q39" s="46">
        <f>81-81</f>
        <v>0</v>
      </c>
      <c r="R39" s="46">
        <f>30.6-30.6</f>
        <v>0</v>
      </c>
      <c r="S39" s="46"/>
    </row>
    <row r="40" spans="1:19">
      <c r="A40" s="47"/>
      <c r="B40" s="47">
        <v>418</v>
      </c>
      <c r="C40" s="158" t="s">
        <v>75</v>
      </c>
      <c r="D40" s="159"/>
      <c r="E40" s="159"/>
      <c r="F40" s="160"/>
      <c r="G40" s="71">
        <f t="shared" si="1"/>
        <v>0</v>
      </c>
      <c r="H40" s="49"/>
      <c r="I40" s="49"/>
      <c r="J40" s="50"/>
      <c r="K40" s="49"/>
      <c r="L40" s="50"/>
      <c r="M40" s="50"/>
      <c r="N40" s="50"/>
      <c r="O40" s="50"/>
      <c r="P40" s="118"/>
      <c r="Q40" s="50"/>
      <c r="R40" s="50"/>
      <c r="S40" s="50"/>
    </row>
    <row r="41" spans="1:19" ht="15" thickBot="1">
      <c r="A41" s="47"/>
      <c r="B41" s="59"/>
      <c r="C41" s="170" t="s">
        <v>61</v>
      </c>
      <c r="D41" s="171"/>
      <c r="E41" s="171"/>
      <c r="F41" s="172"/>
      <c r="G41" s="129">
        <f>SUM(H41:S41)</f>
        <v>42821</v>
      </c>
      <c r="H41" s="124">
        <f>SUM(H23:H39)</f>
        <v>3522</v>
      </c>
      <c r="I41" s="124">
        <f>SUM(I23:I40)</f>
        <v>4576</v>
      </c>
      <c r="J41" s="125">
        <f t="shared" ref="J41" si="2">SUM(J23:J39)</f>
        <v>2635</v>
      </c>
      <c r="K41" s="125">
        <f>SUM(K23:K40)</f>
        <v>5854</v>
      </c>
      <c r="L41" s="125">
        <f>SUM(L23:L40)</f>
        <v>2452.1</v>
      </c>
      <c r="M41" s="124">
        <f t="shared" ref="M41:S41" si="3">SUM(M23:M39)</f>
        <v>2917</v>
      </c>
      <c r="N41" s="125">
        <f t="shared" si="3"/>
        <v>10379.9</v>
      </c>
      <c r="O41" s="125">
        <f t="shared" si="3"/>
        <v>-421.5</v>
      </c>
      <c r="P41" s="120">
        <f t="shared" si="3"/>
        <v>133</v>
      </c>
      <c r="Q41" s="125">
        <f t="shared" si="3"/>
        <v>4076.4</v>
      </c>
      <c r="R41" s="125">
        <f t="shared" si="3"/>
        <v>3335.6</v>
      </c>
      <c r="S41" s="131">
        <f t="shared" si="3"/>
        <v>3361.5</v>
      </c>
    </row>
    <row r="42" spans="1:19">
      <c r="A42" s="64" t="s">
        <v>62</v>
      </c>
      <c r="B42" s="65"/>
      <c r="C42" s="66" t="s">
        <v>43</v>
      </c>
      <c r="D42" s="66"/>
      <c r="E42" s="66"/>
      <c r="F42" s="67"/>
      <c r="G42" s="153">
        <f>SUM(H42:S43)</f>
        <v>4281.7</v>
      </c>
      <c r="H42" s="151">
        <f>SUM(H44:H49)</f>
        <v>0</v>
      </c>
      <c r="I42" s="151">
        <f t="shared" ref="I42:S42" si="4">SUM(I44:I49)</f>
        <v>924</v>
      </c>
      <c r="J42" s="151">
        <f t="shared" si="4"/>
        <v>438</v>
      </c>
      <c r="K42" s="151">
        <f t="shared" si="4"/>
        <v>1076</v>
      </c>
      <c r="L42" s="153">
        <f t="shared" si="4"/>
        <v>37</v>
      </c>
      <c r="M42" s="151">
        <f t="shared" si="4"/>
        <v>258</v>
      </c>
      <c r="N42" s="151">
        <f t="shared" si="4"/>
        <v>120</v>
      </c>
      <c r="O42" s="151">
        <f t="shared" si="4"/>
        <v>600</v>
      </c>
      <c r="P42" s="151">
        <f t="shared" si="4"/>
        <v>0</v>
      </c>
      <c r="Q42" s="151">
        <f t="shared" si="4"/>
        <v>230</v>
      </c>
      <c r="R42" s="151">
        <f t="shared" si="4"/>
        <v>323</v>
      </c>
      <c r="S42" s="153">
        <f t="shared" si="4"/>
        <v>275.7</v>
      </c>
    </row>
    <row r="43" spans="1:19" ht="15" thickBot="1">
      <c r="A43" s="37"/>
      <c r="B43" s="38"/>
      <c r="C43" s="39" t="s">
        <v>44</v>
      </c>
      <c r="D43" s="39"/>
      <c r="E43" s="39"/>
      <c r="F43" s="40"/>
      <c r="G43" s="154"/>
      <c r="H43" s="152"/>
      <c r="I43" s="152"/>
      <c r="J43" s="152"/>
      <c r="K43" s="152"/>
      <c r="L43" s="154"/>
      <c r="M43" s="152"/>
      <c r="N43" s="152"/>
      <c r="O43" s="152"/>
      <c r="P43" s="152"/>
      <c r="Q43" s="152"/>
      <c r="R43" s="152"/>
      <c r="S43" s="154"/>
    </row>
    <row r="44" spans="1:19">
      <c r="A44" s="41"/>
      <c r="B44" s="42">
        <v>111</v>
      </c>
      <c r="C44" s="155" t="s">
        <v>45</v>
      </c>
      <c r="D44" s="156"/>
      <c r="E44" s="156"/>
      <c r="F44" s="157"/>
      <c r="G44" s="68">
        <f>SUM(H44:S44)</f>
        <v>3647.5</v>
      </c>
      <c r="H44" s="43"/>
      <c r="I44" s="43">
        <v>800</v>
      </c>
      <c r="J44" s="43">
        <v>400</v>
      </c>
      <c r="K44" s="43">
        <v>760.4</v>
      </c>
      <c r="L44" s="44"/>
      <c r="M44" s="44">
        <v>258</v>
      </c>
      <c r="N44" s="44">
        <v>90</v>
      </c>
      <c r="O44" s="44">
        <v>583</v>
      </c>
      <c r="P44" s="44">
        <v>0</v>
      </c>
      <c r="Q44" s="44">
        <v>200</v>
      </c>
      <c r="R44" s="44">
        <v>300</v>
      </c>
      <c r="S44" s="44">
        <f>2369-43-90-583-5-205-300-7-5-5-892+22.1</f>
        <v>256.10000000000002</v>
      </c>
    </row>
    <row r="45" spans="1:19">
      <c r="A45" s="41"/>
      <c r="B45" s="42">
        <v>113</v>
      </c>
      <c r="C45" s="158" t="s">
        <v>46</v>
      </c>
      <c r="D45" s="159"/>
      <c r="E45" s="159"/>
      <c r="F45" s="160"/>
      <c r="G45" s="68">
        <f>SUM(H45:S45)</f>
        <v>263.60000000000002</v>
      </c>
      <c r="H45" s="45"/>
      <c r="I45" s="45"/>
      <c r="J45" s="46"/>
      <c r="K45" s="46">
        <v>226.6</v>
      </c>
      <c r="L45" s="46">
        <v>37</v>
      </c>
      <c r="M45" s="46"/>
      <c r="N45" s="46"/>
      <c r="O45" s="46">
        <v>0</v>
      </c>
      <c r="P45" s="46"/>
      <c r="Q45" s="46"/>
      <c r="R45" s="46"/>
      <c r="S45" s="46"/>
    </row>
    <row r="46" spans="1:19">
      <c r="A46" s="42"/>
      <c r="B46" s="42">
        <v>121</v>
      </c>
      <c r="C46" s="158" t="s">
        <v>47</v>
      </c>
      <c r="D46" s="159"/>
      <c r="E46" s="159"/>
      <c r="F46" s="160"/>
      <c r="G46" s="124">
        <f>SUM(H46:S46)</f>
        <v>195.9</v>
      </c>
      <c r="H46" s="45"/>
      <c r="I46" s="45">
        <v>60</v>
      </c>
      <c r="J46" s="45">
        <v>26</v>
      </c>
      <c r="K46" s="45">
        <v>43</v>
      </c>
      <c r="L46" s="46"/>
      <c r="M46" s="46"/>
      <c r="N46" s="46">
        <v>16</v>
      </c>
      <c r="O46" s="46">
        <v>9</v>
      </c>
      <c r="P46" s="46">
        <v>0</v>
      </c>
      <c r="Q46" s="46">
        <v>15</v>
      </c>
      <c r="R46" s="46">
        <v>10</v>
      </c>
      <c r="S46" s="46">
        <f>11.9+5</f>
        <v>16.899999999999999</v>
      </c>
    </row>
    <row r="47" spans="1:19">
      <c r="A47" s="47"/>
      <c r="B47" s="47">
        <v>122</v>
      </c>
      <c r="C47" s="161" t="s">
        <v>48</v>
      </c>
      <c r="D47" s="162"/>
      <c r="E47" s="162"/>
      <c r="F47" s="163"/>
      <c r="G47" s="68"/>
      <c r="H47" s="48"/>
      <c r="I47" s="49"/>
      <c r="J47" s="50"/>
      <c r="K47" s="50"/>
      <c r="L47" s="50"/>
      <c r="M47" s="50"/>
      <c r="N47" s="50"/>
      <c r="O47" s="50"/>
      <c r="P47" s="50"/>
      <c r="Q47" s="50"/>
      <c r="R47" s="50"/>
      <c r="S47" s="50"/>
    </row>
    <row r="48" spans="1:19">
      <c r="A48" s="51"/>
      <c r="B48" s="51"/>
      <c r="C48" s="144" t="s">
        <v>49</v>
      </c>
      <c r="D48" s="145"/>
      <c r="E48" s="145"/>
      <c r="F48" s="146"/>
      <c r="G48" s="69">
        <f>SUM(H48:S48)</f>
        <v>110.7</v>
      </c>
      <c r="H48" s="45"/>
      <c r="I48" s="45">
        <v>40</v>
      </c>
      <c r="J48" s="45">
        <v>12</v>
      </c>
      <c r="K48" s="45">
        <v>26</v>
      </c>
      <c r="L48" s="46"/>
      <c r="M48" s="46"/>
      <c r="N48" s="46">
        <v>9</v>
      </c>
      <c r="O48" s="46">
        <v>4</v>
      </c>
      <c r="P48" s="46">
        <v>0</v>
      </c>
      <c r="Q48" s="46">
        <v>10</v>
      </c>
      <c r="R48" s="46">
        <v>8</v>
      </c>
      <c r="S48" s="46">
        <v>1.7</v>
      </c>
    </row>
    <row r="49" spans="1:20">
      <c r="A49" s="42"/>
      <c r="B49" s="42">
        <v>124</v>
      </c>
      <c r="C49" s="147" t="s">
        <v>51</v>
      </c>
      <c r="D49" s="148"/>
      <c r="E49" s="148"/>
      <c r="F49" s="149"/>
      <c r="G49" s="124">
        <f>SUM(H49:S49)</f>
        <v>64</v>
      </c>
      <c r="H49" s="52"/>
      <c r="I49" s="52">
        <v>24</v>
      </c>
      <c r="J49" s="52"/>
      <c r="K49" s="52">
        <v>20</v>
      </c>
      <c r="L49" s="53"/>
      <c r="M49" s="53"/>
      <c r="N49" s="53">
        <v>5</v>
      </c>
      <c r="O49" s="53">
        <v>4</v>
      </c>
      <c r="P49" s="53">
        <v>0</v>
      </c>
      <c r="Q49" s="53">
        <v>5</v>
      </c>
      <c r="R49" s="53">
        <v>5</v>
      </c>
      <c r="S49" s="53">
        <v>1</v>
      </c>
    </row>
    <row r="50" spans="1:20" ht="15" thickBot="1">
      <c r="A50" s="42"/>
      <c r="B50" s="70"/>
      <c r="C50" s="150" t="s">
        <v>63</v>
      </c>
      <c r="D50" s="150"/>
      <c r="E50" s="150"/>
      <c r="F50" s="150"/>
      <c r="G50" s="130">
        <f>SUM(G44:G49)</f>
        <v>4281.7</v>
      </c>
      <c r="H50" s="68">
        <f t="shared" ref="H50:S50" si="5">SUM(H44:H49)</f>
        <v>0</v>
      </c>
      <c r="I50" s="68">
        <f t="shared" si="5"/>
        <v>924</v>
      </c>
      <c r="J50" s="68">
        <f t="shared" si="5"/>
        <v>438</v>
      </c>
      <c r="K50" s="68">
        <f t="shared" si="5"/>
        <v>1076</v>
      </c>
      <c r="L50" s="71">
        <f t="shared" si="5"/>
        <v>37</v>
      </c>
      <c r="M50" s="71">
        <f t="shared" si="5"/>
        <v>258</v>
      </c>
      <c r="N50" s="71">
        <f t="shared" si="5"/>
        <v>120</v>
      </c>
      <c r="O50" s="71">
        <f t="shared" si="5"/>
        <v>600</v>
      </c>
      <c r="P50" s="71">
        <f t="shared" si="5"/>
        <v>0</v>
      </c>
      <c r="Q50" s="71">
        <f t="shared" si="5"/>
        <v>230</v>
      </c>
      <c r="R50" s="71">
        <f t="shared" si="5"/>
        <v>323</v>
      </c>
      <c r="S50" s="71">
        <f t="shared" si="5"/>
        <v>275.7</v>
      </c>
    </row>
    <row r="51" spans="1:20">
      <c r="A51" s="64" t="s">
        <v>76</v>
      </c>
      <c r="B51" s="65"/>
      <c r="C51" s="66" t="s">
        <v>43</v>
      </c>
      <c r="D51" s="66"/>
      <c r="E51" s="66"/>
      <c r="F51" s="67"/>
      <c r="G51" s="153">
        <f>SUM(H51:S52)</f>
        <v>788</v>
      </c>
      <c r="H51" s="151">
        <f t="shared" ref="H51:K51" si="6">SUM(H53:H57)</f>
        <v>0</v>
      </c>
      <c r="I51" s="151">
        <f t="shared" si="6"/>
        <v>0</v>
      </c>
      <c r="J51" s="151">
        <f t="shared" si="6"/>
        <v>0</v>
      </c>
      <c r="K51" s="151">
        <f t="shared" si="6"/>
        <v>0</v>
      </c>
      <c r="L51" s="153">
        <f>SUM(L53:L58)</f>
        <v>57</v>
      </c>
      <c r="M51" s="153">
        <f t="shared" ref="M51:S51" si="7">SUM(M53:M58)</f>
        <v>639</v>
      </c>
      <c r="N51" s="153">
        <f t="shared" si="7"/>
        <v>92</v>
      </c>
      <c r="O51" s="153">
        <f t="shared" si="7"/>
        <v>0</v>
      </c>
      <c r="P51" s="153">
        <f t="shared" si="7"/>
        <v>0</v>
      </c>
      <c r="Q51" s="153">
        <f t="shared" si="7"/>
        <v>0</v>
      </c>
      <c r="R51" s="153">
        <f t="shared" si="7"/>
        <v>0</v>
      </c>
      <c r="S51" s="153">
        <f t="shared" si="7"/>
        <v>0</v>
      </c>
    </row>
    <row r="52" spans="1:20" ht="15" thickBot="1">
      <c r="A52" s="37"/>
      <c r="B52" s="38"/>
      <c r="C52" s="39" t="s">
        <v>44</v>
      </c>
      <c r="D52" s="39"/>
      <c r="E52" s="39"/>
      <c r="F52" s="40"/>
      <c r="G52" s="154"/>
      <c r="H52" s="152"/>
      <c r="I52" s="152"/>
      <c r="J52" s="152"/>
      <c r="K52" s="152"/>
      <c r="L52" s="154"/>
      <c r="M52" s="154"/>
      <c r="N52" s="154"/>
      <c r="O52" s="154"/>
      <c r="P52" s="154"/>
      <c r="Q52" s="154"/>
      <c r="R52" s="154"/>
      <c r="S52" s="154"/>
    </row>
    <row r="53" spans="1:20">
      <c r="A53" s="41"/>
      <c r="B53" s="42">
        <v>111</v>
      </c>
      <c r="C53" s="155" t="s">
        <v>45</v>
      </c>
      <c r="D53" s="156"/>
      <c r="E53" s="156"/>
      <c r="F53" s="157"/>
      <c r="G53" s="68">
        <f>SUM(H53:S53)</f>
        <v>713.6</v>
      </c>
      <c r="H53" s="43"/>
      <c r="I53" s="43"/>
      <c r="J53" s="43"/>
      <c r="K53" s="44"/>
      <c r="L53" s="44">
        <v>50</v>
      </c>
      <c r="M53" s="44">
        <v>580.6</v>
      </c>
      <c r="N53" s="44">
        <v>83</v>
      </c>
      <c r="O53" s="75">
        <v>0</v>
      </c>
      <c r="P53" s="44">
        <f>300-50-250</f>
        <v>0</v>
      </c>
      <c r="Q53" s="116">
        <v>0</v>
      </c>
      <c r="R53" s="44"/>
      <c r="S53" s="44"/>
      <c r="T53" s="126"/>
    </row>
    <row r="54" spans="1:20">
      <c r="A54" s="41"/>
      <c r="B54" s="42">
        <v>113</v>
      </c>
      <c r="C54" s="158" t="s">
        <v>46</v>
      </c>
      <c r="D54" s="159"/>
      <c r="E54" s="159"/>
      <c r="F54" s="160"/>
      <c r="G54" s="68">
        <f>SUM(H54:S54)</f>
        <v>0</v>
      </c>
      <c r="H54" s="45"/>
      <c r="I54" s="45"/>
      <c r="J54" s="46"/>
      <c r="K54" s="46"/>
      <c r="L54" s="46"/>
      <c r="M54" s="46"/>
      <c r="N54" s="46"/>
      <c r="O54" s="71"/>
      <c r="P54" s="46"/>
      <c r="Q54" s="117"/>
      <c r="R54" s="46"/>
      <c r="S54" s="46"/>
    </row>
    <row r="55" spans="1:20">
      <c r="A55" s="42"/>
      <c r="B55" s="42">
        <v>121</v>
      </c>
      <c r="C55" s="158" t="s">
        <v>47</v>
      </c>
      <c r="D55" s="159"/>
      <c r="E55" s="159"/>
      <c r="F55" s="160"/>
      <c r="G55" s="124">
        <f>SUM(H55:S55)</f>
        <v>38</v>
      </c>
      <c r="H55" s="45"/>
      <c r="I55" s="45"/>
      <c r="J55" s="45"/>
      <c r="K55" s="46"/>
      <c r="L55" s="46">
        <v>4</v>
      </c>
      <c r="M55" s="46">
        <v>30</v>
      </c>
      <c r="N55" s="46">
        <v>4</v>
      </c>
      <c r="O55" s="71">
        <v>0</v>
      </c>
      <c r="P55" s="46">
        <f>27-4-23</f>
        <v>0</v>
      </c>
      <c r="Q55" s="117">
        <v>0</v>
      </c>
      <c r="R55" s="46"/>
      <c r="S55" s="46"/>
      <c r="T55" s="126"/>
    </row>
    <row r="56" spans="1:20">
      <c r="A56" s="47"/>
      <c r="B56" s="47">
        <v>122</v>
      </c>
      <c r="C56" s="161" t="s">
        <v>48</v>
      </c>
      <c r="D56" s="162"/>
      <c r="E56" s="162"/>
      <c r="F56" s="163"/>
      <c r="G56" s="68"/>
      <c r="H56" s="48"/>
      <c r="I56" s="49"/>
      <c r="J56" s="50"/>
      <c r="K56" s="50"/>
      <c r="L56" s="50"/>
      <c r="M56" s="50"/>
      <c r="N56" s="50"/>
      <c r="O56" s="125"/>
      <c r="P56" s="50"/>
      <c r="Q56" s="118"/>
      <c r="R56" s="50"/>
      <c r="S56" s="50"/>
    </row>
    <row r="57" spans="1:20">
      <c r="A57" s="51"/>
      <c r="B57" s="51"/>
      <c r="C57" s="144" t="s">
        <v>49</v>
      </c>
      <c r="D57" s="145"/>
      <c r="E57" s="145"/>
      <c r="F57" s="146"/>
      <c r="G57" s="69">
        <f>SUM(H57:S57)</f>
        <v>22.8</v>
      </c>
      <c r="H57" s="45"/>
      <c r="I57" s="45"/>
      <c r="J57" s="45"/>
      <c r="K57" s="46"/>
      <c r="L57" s="46">
        <v>2</v>
      </c>
      <c r="M57" s="46">
        <v>17.8</v>
      </c>
      <c r="N57" s="46">
        <v>3</v>
      </c>
      <c r="O57" s="71">
        <v>0</v>
      </c>
      <c r="P57" s="46">
        <f>18-2-16</f>
        <v>0</v>
      </c>
      <c r="Q57" s="117">
        <v>0</v>
      </c>
      <c r="R57" s="46"/>
      <c r="S57" s="46"/>
      <c r="T57" s="126"/>
    </row>
    <row r="58" spans="1:20">
      <c r="A58" s="42"/>
      <c r="B58" s="42">
        <v>124</v>
      </c>
      <c r="C58" s="147" t="s">
        <v>51</v>
      </c>
      <c r="D58" s="148"/>
      <c r="E58" s="148"/>
      <c r="F58" s="149"/>
      <c r="G58" s="124">
        <f>SUM(H58:S58)</f>
        <v>13.6</v>
      </c>
      <c r="H58" s="52"/>
      <c r="I58" s="52"/>
      <c r="J58" s="52"/>
      <c r="K58" s="53"/>
      <c r="L58" s="53">
        <v>1</v>
      </c>
      <c r="M58" s="53">
        <v>10.6</v>
      </c>
      <c r="N58" s="53">
        <v>2</v>
      </c>
      <c r="O58" s="115">
        <v>0</v>
      </c>
      <c r="P58" s="53">
        <f>8-1-7</f>
        <v>0</v>
      </c>
      <c r="Q58" s="119">
        <v>0</v>
      </c>
      <c r="R58" s="53"/>
      <c r="S58" s="53"/>
      <c r="T58" s="126"/>
    </row>
    <row r="59" spans="1:20">
      <c r="A59" s="42"/>
      <c r="B59" s="70"/>
      <c r="C59" s="150" t="s">
        <v>63</v>
      </c>
      <c r="D59" s="150"/>
      <c r="E59" s="150"/>
      <c r="F59" s="150"/>
      <c r="G59" s="130">
        <f>SUM(G53:G58)</f>
        <v>788</v>
      </c>
      <c r="H59" s="68">
        <f t="shared" ref="H59:S59" si="8">SUM(H53:H58)</f>
        <v>0</v>
      </c>
      <c r="I59" s="68">
        <f t="shared" si="8"/>
        <v>0</v>
      </c>
      <c r="J59" s="68">
        <f t="shared" si="8"/>
        <v>0</v>
      </c>
      <c r="K59" s="71">
        <f t="shared" si="8"/>
        <v>0</v>
      </c>
      <c r="L59" s="71">
        <f t="shared" si="8"/>
        <v>57</v>
      </c>
      <c r="M59" s="68">
        <f t="shared" si="8"/>
        <v>639</v>
      </c>
      <c r="N59" s="68">
        <f t="shared" si="8"/>
        <v>92</v>
      </c>
      <c r="O59" s="68">
        <f t="shared" si="8"/>
        <v>0</v>
      </c>
      <c r="P59" s="71">
        <f t="shared" si="8"/>
        <v>0</v>
      </c>
      <c r="Q59" s="127">
        <f t="shared" si="8"/>
        <v>0</v>
      </c>
      <c r="R59" s="68">
        <f t="shared" si="8"/>
        <v>0</v>
      </c>
      <c r="S59" s="71">
        <f t="shared" si="8"/>
        <v>0</v>
      </c>
    </row>
    <row r="60" spans="1:20">
      <c r="A60" s="42"/>
      <c r="B60" s="70"/>
      <c r="C60" s="150" t="s">
        <v>64</v>
      </c>
      <c r="D60" s="150"/>
      <c r="E60" s="150"/>
      <c r="F60" s="150"/>
      <c r="G60" s="128">
        <f>G41+G50+G59</f>
        <v>47890.7</v>
      </c>
      <c r="H60" s="68">
        <f t="shared" ref="H60:S60" si="9">H41+H50+H59</f>
        <v>3522</v>
      </c>
      <c r="I60" s="68">
        <f t="shared" si="9"/>
        <v>5500</v>
      </c>
      <c r="J60" s="68">
        <f t="shared" si="9"/>
        <v>3073</v>
      </c>
      <c r="K60" s="68">
        <f t="shared" si="9"/>
        <v>6930</v>
      </c>
      <c r="L60" s="68">
        <f t="shared" si="9"/>
        <v>2546.1</v>
      </c>
      <c r="M60" s="68">
        <f t="shared" si="9"/>
        <v>3814</v>
      </c>
      <c r="N60" s="71">
        <f t="shared" si="9"/>
        <v>10591.9</v>
      </c>
      <c r="O60" s="68">
        <f t="shared" si="9"/>
        <v>178.5</v>
      </c>
      <c r="P60" s="68">
        <f t="shared" si="9"/>
        <v>133</v>
      </c>
      <c r="Q60" s="68">
        <f t="shared" si="9"/>
        <v>4306.3999999999996</v>
      </c>
      <c r="R60" s="68">
        <f t="shared" si="9"/>
        <v>3658.6</v>
      </c>
      <c r="S60" s="68">
        <f t="shared" si="9"/>
        <v>3637.2</v>
      </c>
    </row>
    <row r="61" spans="1:20">
      <c r="A61" s="33"/>
      <c r="B61" s="72"/>
      <c r="C61" s="73"/>
      <c r="D61" s="73"/>
      <c r="E61" s="73"/>
      <c r="F61" s="73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6"/>
    </row>
    <row r="62" spans="1:20">
      <c r="A62" s="3"/>
      <c r="B62" s="3"/>
      <c r="C62" s="3"/>
      <c r="D62" s="3"/>
      <c r="E62" s="3"/>
      <c r="F62" s="3"/>
      <c r="G62" s="3"/>
      <c r="H62" s="27"/>
      <c r="I62" s="27"/>
      <c r="J62" s="27"/>
      <c r="K62" s="3"/>
      <c r="L62" s="27" t="s">
        <v>66</v>
      </c>
      <c r="M62" s="27"/>
      <c r="N62" s="27"/>
      <c r="O62" s="25"/>
      <c r="P62" s="3"/>
      <c r="Q62" s="3"/>
      <c r="R62" s="3"/>
      <c r="S62" s="3"/>
    </row>
    <row r="63" spans="1:20">
      <c r="A63" s="3"/>
      <c r="B63" s="3"/>
      <c r="C63" s="3"/>
      <c r="D63" s="3"/>
      <c r="E63" s="3"/>
      <c r="F63" s="3"/>
      <c r="G63" s="3"/>
      <c r="H63" s="25" t="s">
        <v>68</v>
      </c>
      <c r="I63" s="25"/>
      <c r="J63" s="25"/>
      <c r="K63" s="3"/>
      <c r="L63" s="25" t="s">
        <v>69</v>
      </c>
      <c r="M63" s="25"/>
      <c r="N63" s="25"/>
      <c r="O63" s="25"/>
      <c r="P63" s="25"/>
      <c r="Q63" s="3"/>
      <c r="R63" s="3"/>
      <c r="S63" s="3"/>
    </row>
    <row r="64" spans="1:20">
      <c r="A64" s="3"/>
      <c r="B64" s="3"/>
      <c r="C64" s="3"/>
      <c r="D64" s="3"/>
      <c r="E64" s="3"/>
      <c r="F64" s="3"/>
      <c r="G64" s="3"/>
      <c r="H64" s="27"/>
      <c r="I64" s="27"/>
      <c r="J64" s="27"/>
      <c r="K64" s="3"/>
      <c r="L64" s="27" t="s">
        <v>71</v>
      </c>
      <c r="M64" s="27"/>
      <c r="N64" s="27"/>
      <c r="O64" s="25"/>
      <c r="P64" s="3"/>
      <c r="Q64" s="3"/>
      <c r="R64" s="3"/>
      <c r="S64" s="3"/>
    </row>
    <row r="65" spans="1:19">
      <c r="A65" s="3"/>
      <c r="B65" s="3"/>
      <c r="C65" s="3"/>
      <c r="D65" s="3"/>
      <c r="E65" s="3"/>
      <c r="F65" s="3"/>
      <c r="G65" s="3"/>
      <c r="H65" s="25" t="s">
        <v>68</v>
      </c>
      <c r="I65" s="25"/>
      <c r="J65" s="25"/>
      <c r="K65" s="3"/>
      <c r="L65" s="25" t="s">
        <v>69</v>
      </c>
      <c r="M65" s="25"/>
      <c r="N65" s="25"/>
      <c r="O65" s="25"/>
      <c r="P65" s="3"/>
      <c r="Q65" s="3"/>
      <c r="R65" s="3"/>
      <c r="S65" s="3"/>
    </row>
  </sheetData>
  <mergeCells count="97">
    <mergeCell ref="C60:F60"/>
    <mergeCell ref="T17:T22"/>
    <mergeCell ref="C54:F54"/>
    <mergeCell ref="C55:F55"/>
    <mergeCell ref="C56:F56"/>
    <mergeCell ref="C57:F57"/>
    <mergeCell ref="C58:F58"/>
    <mergeCell ref="C59:F59"/>
    <mergeCell ref="O51:O52"/>
    <mergeCell ref="P51:P52"/>
    <mergeCell ref="Q51:Q52"/>
    <mergeCell ref="R51:R52"/>
    <mergeCell ref="S51:S52"/>
    <mergeCell ref="C53:F53"/>
    <mergeCell ref="I51:I52"/>
    <mergeCell ref="J51:J52"/>
    <mergeCell ref="K51:K52"/>
    <mergeCell ref="L51:L52"/>
    <mergeCell ref="M51:M52"/>
    <mergeCell ref="N51:N52"/>
    <mergeCell ref="C47:F47"/>
    <mergeCell ref="C48:F48"/>
    <mergeCell ref="C49:F49"/>
    <mergeCell ref="C50:F50"/>
    <mergeCell ref="G51:G52"/>
    <mergeCell ref="H51:H52"/>
    <mergeCell ref="Q42:Q43"/>
    <mergeCell ref="R42:R43"/>
    <mergeCell ref="S42:S43"/>
    <mergeCell ref="C44:F44"/>
    <mergeCell ref="C45:F45"/>
    <mergeCell ref="O42:O43"/>
    <mergeCell ref="P42:P43"/>
    <mergeCell ref="C46:F46"/>
    <mergeCell ref="K42:K43"/>
    <mergeCell ref="L42:L43"/>
    <mergeCell ref="M42:M43"/>
    <mergeCell ref="N42:N43"/>
    <mergeCell ref="J42:J43"/>
    <mergeCell ref="C40:F40"/>
    <mergeCell ref="C41:F41"/>
    <mergeCell ref="G42:G43"/>
    <mergeCell ref="H42:H43"/>
    <mergeCell ref="I42:I43"/>
    <mergeCell ref="C29:F29"/>
    <mergeCell ref="C30:F30"/>
    <mergeCell ref="C32:F32"/>
    <mergeCell ref="C33:F33"/>
    <mergeCell ref="C37:F37"/>
    <mergeCell ref="C39:F39"/>
    <mergeCell ref="S21:S22"/>
    <mergeCell ref="C23:F23"/>
    <mergeCell ref="C25:F25"/>
    <mergeCell ref="C26:F26"/>
    <mergeCell ref="C27:F27"/>
    <mergeCell ref="C28:F28"/>
    <mergeCell ref="M21:M22"/>
    <mergeCell ref="N21:N22"/>
    <mergeCell ref="O21:O22"/>
    <mergeCell ref="P21:P22"/>
    <mergeCell ref="Q21:Q22"/>
    <mergeCell ref="R21:R22"/>
    <mergeCell ref="G21:G22"/>
    <mergeCell ref="H21:H22"/>
    <mergeCell ref="I21:I22"/>
    <mergeCell ref="J21:J22"/>
    <mergeCell ref="K21:K22"/>
    <mergeCell ref="L21:L22"/>
    <mergeCell ref="N18:N20"/>
    <mergeCell ref="O18:O20"/>
    <mergeCell ref="S18:S20"/>
    <mergeCell ref="A17:A20"/>
    <mergeCell ref="B17:B20"/>
    <mergeCell ref="G17:G20"/>
    <mergeCell ref="H17:S17"/>
    <mergeCell ref="H18:H20"/>
    <mergeCell ref="I18:I20"/>
    <mergeCell ref="J18:J20"/>
    <mergeCell ref="K18:K20"/>
    <mergeCell ref="L18:L20"/>
    <mergeCell ref="M18:M20"/>
    <mergeCell ref="C24:F24"/>
    <mergeCell ref="L16:O16"/>
    <mergeCell ref="J2:S2"/>
    <mergeCell ref="Q3:S3"/>
    <mergeCell ref="J4:S4"/>
    <mergeCell ref="J5:S5"/>
    <mergeCell ref="J6:S6"/>
    <mergeCell ref="J7:S7"/>
    <mergeCell ref="N8:P8"/>
    <mergeCell ref="Q8:S8"/>
    <mergeCell ref="N9:P9"/>
    <mergeCell ref="Q9:R9"/>
    <mergeCell ref="N10:P10"/>
    <mergeCell ref="P18:P20"/>
    <mergeCell ref="Q18:Q20"/>
    <mergeCell ref="R18:R20"/>
  </mergeCells>
  <pageMargins left="0.70866141732283472" right="0.11811023622047245" top="0.39370078740157483" bottom="0" header="0.31496062992125984" footer="0.31496062992125984"/>
  <pageSetup paperSize="9" scale="5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рабоч.</vt:lpstr>
      <vt:lpstr>декабрь посл.вар-т</vt:lpstr>
      <vt:lpstr>'декабрь посл.вар-т'!Область_печати</vt:lpstr>
      <vt:lpstr>рабоч.!Область_печати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2021-09-27T09:25:35Z</dcterms:modified>
</cp:coreProperties>
</file>